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files\DANE\PUBLICZNY2\DH\ACCOUNTING\WEWNĘTRZNE_ACCM\KALKULATOR\"/>
    </mc:Choice>
  </mc:AlternateContent>
  <bookViews>
    <workbookView xWindow="0" yWindow="0" windowWidth="20496" windowHeight="7752" tabRatio="774" activeTab="1"/>
  </bookViews>
  <sheets>
    <sheet name="enova365 - Serwerowy" sheetId="18" r:id="rId1"/>
    <sheet name="enova365 - Serwerowy WF" sheetId="22" r:id="rId2"/>
    <sheet name="Cennik enova365" sheetId="9" r:id="rId3"/>
  </sheets>
  <definedNames>
    <definedName name="_xlnm._FilterDatabase" localSheetId="0" hidden="1">'enova365 - Serwerowy'!$H$1:$H$81</definedName>
    <definedName name="_xlnm._FilterDatabase" localSheetId="1" hidden="1">'enova365 - Serwerowy WF'!$H$1:$H$89</definedName>
  </definedNames>
  <calcPr calcId="162913"/>
</workbook>
</file>

<file path=xl/calcChain.xml><?xml version="1.0" encoding="utf-8"?>
<calcChain xmlns="http://schemas.openxmlformats.org/spreadsheetml/2006/main">
  <c r="G83" i="22" l="1"/>
  <c r="G75" i="18"/>
  <c r="H51" i="18" l="1"/>
  <c r="D51" i="18"/>
  <c r="H51" i="22"/>
  <c r="D51" i="22"/>
  <c r="H38" i="18" l="1"/>
  <c r="D38" i="18"/>
  <c r="H38" i="22"/>
  <c r="D38" i="22"/>
  <c r="H73" i="22" l="1"/>
  <c r="D64" i="22" l="1"/>
  <c r="D63" i="22"/>
  <c r="D61" i="22"/>
  <c r="D64" i="18"/>
  <c r="D63" i="18"/>
  <c r="D61" i="18"/>
  <c r="D8" i="9" l="1"/>
  <c r="E8" i="9" s="1"/>
  <c r="D9" i="9"/>
  <c r="E9" i="9" s="1"/>
  <c r="D10" i="9"/>
  <c r="D11" i="9"/>
  <c r="D12" i="9"/>
  <c r="D13" i="9"/>
  <c r="E13" i="9" s="1"/>
  <c r="D14" i="9"/>
  <c r="E14" i="9" s="1"/>
  <c r="D15" i="9"/>
  <c r="D16" i="9"/>
  <c r="E16" i="9" s="1"/>
  <c r="D17" i="9"/>
  <c r="E17" i="9" s="1"/>
  <c r="D18" i="9"/>
  <c r="D19" i="9"/>
  <c r="E19" i="9" s="1"/>
  <c r="D20" i="9"/>
  <c r="D21" i="9"/>
  <c r="E21" i="9" s="1"/>
  <c r="D22" i="9"/>
  <c r="E22" i="9" s="1"/>
  <c r="D23" i="9"/>
  <c r="E23" i="9" s="1"/>
  <c r="D24" i="9"/>
  <c r="E24" i="9" s="1"/>
  <c r="D25" i="9"/>
  <c r="E25" i="9" s="1"/>
  <c r="D26" i="9"/>
  <c r="D27" i="9"/>
  <c r="D7" i="9"/>
  <c r="E7" i="9" s="1"/>
  <c r="E27" i="9"/>
  <c r="E26" i="9"/>
  <c r="E20" i="9"/>
  <c r="E18" i="9"/>
  <c r="E15" i="9"/>
  <c r="E12" i="9"/>
  <c r="E11" i="9"/>
  <c r="E10" i="9"/>
  <c r="C4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3" i="22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3" i="18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G9" i="18" l="1"/>
  <c r="J9" i="18" s="1"/>
  <c r="G62" i="18" l="1"/>
  <c r="G5" i="18" l="1"/>
  <c r="J5" i="18" s="1"/>
  <c r="H67" i="22" l="1"/>
  <c r="H69" i="22"/>
  <c r="H74" i="22"/>
  <c r="H78" i="22"/>
  <c r="G76" i="22"/>
  <c r="G77" i="22" s="1"/>
  <c r="H77" i="22" s="1"/>
  <c r="G72" i="22"/>
  <c r="H72" i="22" s="1"/>
  <c r="G62" i="22"/>
  <c r="H62" i="22" s="1"/>
  <c r="C68" i="22"/>
  <c r="G68" i="22"/>
  <c r="H68" i="22" s="1"/>
  <c r="D28" i="22"/>
  <c r="C28" i="22"/>
  <c r="D26" i="22"/>
  <c r="D23" i="22"/>
  <c r="D22" i="22"/>
  <c r="D21" i="22"/>
  <c r="D20" i="22"/>
  <c r="D19" i="22"/>
  <c r="G18" i="22"/>
  <c r="H18" i="22" s="1"/>
  <c r="D17" i="22"/>
  <c r="D16" i="22"/>
  <c r="D15" i="22"/>
  <c r="G14" i="22"/>
  <c r="H14" i="22" s="1"/>
  <c r="D13" i="22"/>
  <c r="G12" i="22"/>
  <c r="H12" i="22" s="1"/>
  <c r="D11" i="22"/>
  <c r="D10" i="22"/>
  <c r="G8" i="22"/>
  <c r="H8" i="22" s="1"/>
  <c r="D7" i="22"/>
  <c r="D6" i="22"/>
  <c r="D5" i="22"/>
  <c r="G4" i="22"/>
  <c r="H4" i="22" s="1"/>
  <c r="D3" i="22"/>
  <c r="E80" i="22"/>
  <c r="B80" i="22"/>
  <c r="G84" i="22" s="1"/>
  <c r="H84" i="22" s="1"/>
  <c r="C79" i="22"/>
  <c r="G79" i="22" s="1"/>
  <c r="H79" i="22" s="1"/>
  <c r="G65" i="22"/>
  <c r="H65" i="22" s="1"/>
  <c r="D65" i="22"/>
  <c r="G64" i="22"/>
  <c r="H64" i="22" s="1"/>
  <c r="G63" i="22"/>
  <c r="H63" i="22" s="1"/>
  <c r="D62" i="22"/>
  <c r="G61" i="22"/>
  <c r="G59" i="22"/>
  <c r="H58" i="22"/>
  <c r="H57" i="22" s="1"/>
  <c r="G56" i="22"/>
  <c r="H55" i="22"/>
  <c r="D55" i="22"/>
  <c r="H54" i="22"/>
  <c r="D54" i="22"/>
  <c r="H53" i="22"/>
  <c r="D53" i="22"/>
  <c r="H52" i="22"/>
  <c r="D52" i="22"/>
  <c r="H50" i="22"/>
  <c r="D50" i="22"/>
  <c r="H49" i="22"/>
  <c r="D49" i="22"/>
  <c r="H48" i="22"/>
  <c r="D48" i="22"/>
  <c r="H47" i="22"/>
  <c r="D47" i="22"/>
  <c r="H46" i="22"/>
  <c r="D46" i="22"/>
  <c r="H45" i="22"/>
  <c r="D45" i="22"/>
  <c r="H44" i="22"/>
  <c r="D44" i="22"/>
  <c r="H43" i="22"/>
  <c r="D43" i="22"/>
  <c r="H42" i="22"/>
  <c r="D42" i="22"/>
  <c r="H41" i="22"/>
  <c r="D41" i="22"/>
  <c r="H40" i="22"/>
  <c r="D40" i="22"/>
  <c r="H39" i="22"/>
  <c r="D39" i="22"/>
  <c r="H37" i="22"/>
  <c r="D37" i="22"/>
  <c r="H36" i="22"/>
  <c r="D36" i="22"/>
  <c r="H35" i="22"/>
  <c r="D35" i="22"/>
  <c r="H34" i="22"/>
  <c r="D34" i="22"/>
  <c r="H33" i="22"/>
  <c r="D33" i="22"/>
  <c r="H32" i="22"/>
  <c r="D32" i="22"/>
  <c r="H31" i="22"/>
  <c r="H56" i="22" s="1"/>
  <c r="D31" i="22"/>
  <c r="G28" i="22"/>
  <c r="H28" i="22" s="1"/>
  <c r="G26" i="22"/>
  <c r="H26" i="22" s="1"/>
  <c r="H25" i="22" s="1"/>
  <c r="G21" i="22"/>
  <c r="H21" i="22" s="1"/>
  <c r="J19" i="22"/>
  <c r="G17" i="22"/>
  <c r="H17" i="22" s="1"/>
  <c r="G13" i="22"/>
  <c r="H13" i="22" s="1"/>
  <c r="J12" i="22"/>
  <c r="G5" i="22"/>
  <c r="H5" i="22" s="1"/>
  <c r="H70" i="18"/>
  <c r="G59" i="18"/>
  <c r="G56" i="18"/>
  <c r="C71" i="18"/>
  <c r="G71" i="18" s="1"/>
  <c r="H71" i="18" s="1"/>
  <c r="E72" i="18"/>
  <c r="B72" i="18"/>
  <c r="D9" i="22" l="1"/>
  <c r="G9" i="22"/>
  <c r="J9" i="22" s="1"/>
  <c r="H76" i="22"/>
  <c r="C80" i="22"/>
  <c r="G80" i="22" s="1"/>
  <c r="H80" i="22" s="1"/>
  <c r="G16" i="22"/>
  <c r="H16" i="22" s="1"/>
  <c r="G7" i="22"/>
  <c r="H7" i="22" s="1"/>
  <c r="G15" i="22"/>
  <c r="H15" i="22" s="1"/>
  <c r="G19" i="22"/>
  <c r="H19" i="22" s="1"/>
  <c r="G11" i="22"/>
  <c r="H11" i="22" s="1"/>
  <c r="G66" i="22"/>
  <c r="H60" i="22" s="1"/>
  <c r="G3" i="22"/>
  <c r="H3" i="22" s="1"/>
  <c r="H61" i="22"/>
  <c r="G23" i="22"/>
  <c r="H23" i="22" s="1"/>
  <c r="G29" i="22"/>
  <c r="G6" i="22"/>
  <c r="H6" i="22" s="1"/>
  <c r="G10" i="22"/>
  <c r="H10" i="22" s="1"/>
  <c r="G20" i="22"/>
  <c r="H20" i="22" s="1"/>
  <c r="G22" i="22"/>
  <c r="H22" i="22" s="1"/>
  <c r="D4" i="22"/>
  <c r="D8" i="22"/>
  <c r="D12" i="22"/>
  <c r="D14" i="22"/>
  <c r="D18" i="22"/>
  <c r="H30" i="22"/>
  <c r="H59" i="22"/>
  <c r="G76" i="18"/>
  <c r="H76" i="18" s="1"/>
  <c r="C72" i="18"/>
  <c r="G72" i="18" s="1"/>
  <c r="G85" i="22" l="1"/>
  <c r="H85" i="22" s="1"/>
  <c r="G77" i="18"/>
  <c r="H77" i="18" s="1"/>
  <c r="H72" i="18"/>
  <c r="G81" i="22"/>
  <c r="H81" i="22" s="1"/>
  <c r="H9" i="22"/>
  <c r="H29" i="22"/>
  <c r="H27" i="22" s="1"/>
  <c r="H66" i="22"/>
  <c r="G70" i="22"/>
  <c r="H70" i="22" s="1"/>
  <c r="G24" i="22"/>
  <c r="G71" i="22" s="1"/>
  <c r="G73" i="18"/>
  <c r="H73" i="18" l="1"/>
  <c r="G78" i="18"/>
  <c r="H78" i="18" s="1"/>
  <c r="G86" i="22"/>
  <c r="H86" i="22" s="1"/>
  <c r="H2" i="22"/>
  <c r="H24" i="22"/>
  <c r="H71" i="22"/>
  <c r="G75" i="22"/>
  <c r="H75" i="22" s="1"/>
  <c r="G82" i="22" l="1"/>
  <c r="H82" i="22" s="1"/>
  <c r="H83" i="22" l="1"/>
  <c r="H49" i="18"/>
  <c r="H50" i="18"/>
  <c r="D49" i="18"/>
  <c r="J19" i="18"/>
  <c r="J12" i="18"/>
  <c r="D23" i="18" l="1"/>
  <c r="G23" i="18" l="1"/>
  <c r="H23" i="18" s="1"/>
  <c r="G7" i="18"/>
  <c r="H7" i="18" s="1"/>
  <c r="D7" i="18" l="1"/>
  <c r="G65" i="18"/>
  <c r="D65" i="18"/>
  <c r="G64" i="18"/>
  <c r="H64" i="18" s="1"/>
  <c r="G10" i="18"/>
  <c r="H10" i="18" s="1"/>
  <c r="D10" i="18" l="1"/>
  <c r="H58" i="18" l="1"/>
  <c r="H57" i="18" s="1"/>
  <c r="H32" i="18"/>
  <c r="H33" i="18"/>
  <c r="H34" i="18"/>
  <c r="H35" i="18"/>
  <c r="H36" i="18"/>
  <c r="H37" i="18"/>
  <c r="H39" i="18"/>
  <c r="H40" i="18"/>
  <c r="H41" i="18"/>
  <c r="H42" i="18"/>
  <c r="H43" i="18"/>
  <c r="H44" i="18"/>
  <c r="H45" i="18"/>
  <c r="H46" i="18"/>
  <c r="H47" i="18"/>
  <c r="H48" i="18"/>
  <c r="H52" i="18"/>
  <c r="H53" i="18"/>
  <c r="H54" i="18"/>
  <c r="H55" i="18"/>
  <c r="H31" i="18"/>
  <c r="D32" i="18"/>
  <c r="D33" i="18"/>
  <c r="D34" i="18"/>
  <c r="D35" i="18"/>
  <c r="D36" i="18"/>
  <c r="D37" i="18"/>
  <c r="D39" i="18"/>
  <c r="D40" i="18"/>
  <c r="D41" i="18"/>
  <c r="D42" i="18"/>
  <c r="D43" i="18"/>
  <c r="D44" i="18"/>
  <c r="D45" i="18"/>
  <c r="D46" i="18"/>
  <c r="D47" i="18"/>
  <c r="D48" i="18"/>
  <c r="D50" i="18"/>
  <c r="D52" i="18"/>
  <c r="D53" i="18"/>
  <c r="D54" i="18"/>
  <c r="D55" i="18"/>
  <c r="D31" i="18"/>
  <c r="H30" i="18" l="1"/>
  <c r="H56" i="18"/>
  <c r="D26" i="18" l="1"/>
  <c r="G28" i="18" l="1"/>
  <c r="G29" i="18" s="1"/>
  <c r="D28" i="18"/>
  <c r="C28" i="18"/>
  <c r="H28" i="18" l="1"/>
  <c r="H29" i="18" l="1"/>
  <c r="H27" i="18" s="1"/>
  <c r="G26" i="18" l="1"/>
  <c r="D4" i="18" l="1"/>
  <c r="D5" i="18"/>
  <c r="D6" i="18"/>
  <c r="D8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9" i="18" l="1"/>
  <c r="G18" i="18"/>
  <c r="H18" i="18" s="1"/>
  <c r="D3" i="18" l="1"/>
  <c r="H65" i="18" l="1"/>
  <c r="G63" i="18"/>
  <c r="H63" i="18" s="1"/>
  <c r="H62" i="18"/>
  <c r="D62" i="18"/>
  <c r="G61" i="18"/>
  <c r="H26" i="18"/>
  <c r="H25" i="18" s="1"/>
  <c r="G22" i="18"/>
  <c r="H22" i="18" s="1"/>
  <c r="G21" i="18"/>
  <c r="H21" i="18" s="1"/>
  <c r="G20" i="18"/>
  <c r="H20" i="18" s="1"/>
  <c r="G19" i="18"/>
  <c r="H19" i="18" s="1"/>
  <c r="G17" i="18"/>
  <c r="H17" i="18" s="1"/>
  <c r="G16" i="18"/>
  <c r="H16" i="18" s="1"/>
  <c r="G15" i="18"/>
  <c r="H15" i="18" s="1"/>
  <c r="G14" i="18"/>
  <c r="H14" i="18" s="1"/>
  <c r="G13" i="18"/>
  <c r="H13" i="18" s="1"/>
  <c r="G12" i="18"/>
  <c r="H12" i="18" s="1"/>
  <c r="G11" i="18"/>
  <c r="H11" i="18" s="1"/>
  <c r="H9" i="18"/>
  <c r="G8" i="18"/>
  <c r="H8" i="18" s="1"/>
  <c r="G6" i="18"/>
  <c r="H6" i="18" s="1"/>
  <c r="H5" i="18"/>
  <c r="G4" i="18"/>
  <c r="H4" i="18" s="1"/>
  <c r="G3" i="18"/>
  <c r="G24" i="18" l="1"/>
  <c r="H61" i="18"/>
  <c r="G66" i="18"/>
  <c r="H3" i="18"/>
  <c r="H59" i="18"/>
  <c r="G67" i="18" l="1"/>
  <c r="H66" i="18"/>
  <c r="H60" i="18"/>
  <c r="H2" i="18"/>
  <c r="H24" i="18"/>
  <c r="G68" i="18" l="1"/>
  <c r="G69" i="18" s="1"/>
  <c r="G74" i="18" s="1"/>
  <c r="H67" i="18"/>
  <c r="H75" i="18" l="1"/>
  <c r="H74" i="18"/>
  <c r="H68" i="18"/>
  <c r="H69" i="18" l="1"/>
</calcChain>
</file>

<file path=xl/comments1.xml><?xml version="1.0" encoding="utf-8"?>
<comments xmlns="http://schemas.openxmlformats.org/spreadsheetml/2006/main">
  <authors>
    <author>Sabina Jurek</author>
  </authors>
  <commentList>
    <comment ref="H1" authorId="0" shapeId="0">
      <text>
        <r>
          <rPr>
            <b/>
            <sz val="9"/>
            <color indexed="81"/>
            <rFont val="Tahoma"/>
            <family val="2"/>
            <charset val="238"/>
          </rPr>
          <t>Sabina Jurek:</t>
        </r>
        <r>
          <rPr>
            <sz val="9"/>
            <color indexed="81"/>
            <rFont val="Tahoma"/>
            <family val="2"/>
            <charset val="238"/>
          </rPr>
          <t xml:space="preserve">
 </t>
        </r>
        <r>
          <rPr>
            <b/>
            <sz val="9"/>
            <color indexed="81"/>
            <rFont val="Tahoma"/>
            <family val="2"/>
            <charset val="238"/>
          </rPr>
          <t>USTALENIE  ZAMAWIANYCH POZYCJI</t>
        </r>
        <r>
          <rPr>
            <sz val="9"/>
            <color indexed="81"/>
            <rFont val="Tahoma"/>
            <family val="2"/>
            <charset val="238"/>
          </rPr>
          <t xml:space="preserve">
Proszę kliknąć w filtr w tym polu
a następnie:
1. Wybrać opcję: Zaznacz wszystko
2. </t>
        </r>
        <r>
          <rPr>
            <b/>
            <sz val="9"/>
            <color indexed="81"/>
            <rFont val="Tahoma"/>
            <family val="2"/>
            <charset val="238"/>
          </rPr>
          <t xml:space="preserve">Ustawiamy odpowiednie wartości </t>
        </r>
        <r>
          <rPr>
            <b/>
            <sz val="9"/>
            <color indexed="10"/>
            <rFont val="Tahoma"/>
            <family val="2"/>
            <charset val="238"/>
          </rPr>
          <t>tylko na konfigurowalnych (żółtych) polach</t>
        </r>
        <r>
          <rPr>
            <sz val="9"/>
            <color indexed="81"/>
            <rFont val="Tahoma"/>
            <family val="2"/>
            <charset val="238"/>
          </rPr>
          <t xml:space="preserve">
3. Po ustawieniu konkretnych wartości klikamy ponownie  w filtr i wybieramy opcję 1 (tylko)
4. W efekcie otrzymujemy zwartą tabelkę do wklejenia do oferty dla klienta</t>
        </r>
      </text>
    </comment>
  </commentList>
</comments>
</file>

<file path=xl/sharedStrings.xml><?xml version="1.0" encoding="utf-8"?>
<sst xmlns="http://schemas.openxmlformats.org/spreadsheetml/2006/main" count="509" uniqueCount="175">
  <si>
    <t>Wersja</t>
  </si>
  <si>
    <t>srebro</t>
  </si>
  <si>
    <t>TAK</t>
  </si>
  <si>
    <t>złoto</t>
  </si>
  <si>
    <t>NIE</t>
  </si>
  <si>
    <t>platyna</t>
  </si>
  <si>
    <t>Moduły  dodatkowe</t>
  </si>
  <si>
    <t>5…15 tabela -&gt; za 1 szt.</t>
  </si>
  <si>
    <t>1…5 tabela -&gt; za 1 szt.</t>
  </si>
  <si>
    <t>Moduł</t>
  </si>
  <si>
    <t>Rodzaj</t>
  </si>
  <si>
    <t>Wartość [netto]</t>
  </si>
  <si>
    <t xml:space="preserve">Promocje </t>
  </si>
  <si>
    <t>Wartość  upustu dla Klienta netto</t>
  </si>
  <si>
    <t>Kliknij w filtr</t>
  </si>
  <si>
    <t>enova365 Pulpit Kierownika</t>
  </si>
  <si>
    <t>dopłata za kolejna bazę</t>
  </si>
  <si>
    <t>Ilość/Zakres</t>
  </si>
  <si>
    <t>TABELE DODATKOWE - ZŁOTO do maks. 15 tabel</t>
  </si>
  <si>
    <t>enova365 Pulpity</t>
  </si>
  <si>
    <t>SUMA enova365 Pulpity</t>
  </si>
  <si>
    <t>0,00*</t>
  </si>
  <si>
    <t>TABELE DODATKOWE
*jeżeli licecnja zawiera wyłącznie moduły platynowe
nielimitowana liczba tabel dodtakowych w cenie</t>
  </si>
  <si>
    <t>SUMA MODUŁY Dodatkowe</t>
  </si>
  <si>
    <t>SUMA TABELE Dodatkowe</t>
  </si>
  <si>
    <t>standard</t>
  </si>
  <si>
    <t>multi</t>
  </si>
  <si>
    <t>Moduły  podstawowe</t>
  </si>
  <si>
    <t>enova365 Jednostki Budżetowe</t>
  </si>
  <si>
    <t>enova365 Elektroniczne Wyciągi Bankowe</t>
  </si>
  <si>
    <t>enova365 Wirtualne Rachunki Bankowe</t>
  </si>
  <si>
    <t>enova365 Importy Księgowe</t>
  </si>
  <si>
    <t>enova365 Eksporty Księgowe</t>
  </si>
  <si>
    <t>enova365 Pracownicy Uczelni</t>
  </si>
  <si>
    <t>enova365 Pracownicy Koszty Projektów</t>
  </si>
  <si>
    <t>enova365 Platforma Managera</t>
  </si>
  <si>
    <t>enova365 SMS</t>
  </si>
  <si>
    <t>enova365 CRM Outlook</t>
  </si>
  <si>
    <t>enova365 EDI</t>
  </si>
  <si>
    <t>enova365 eFaktura GreenMail24</t>
  </si>
  <si>
    <t>enova365 Harmonogram Zadań</t>
  </si>
  <si>
    <t>Kolor</t>
  </si>
  <si>
    <t>enova365 Pulpit Pracownika</t>
  </si>
  <si>
    <t>enova365 Pulpit Pracownika dla Bira Rachunkowego</t>
  </si>
  <si>
    <t>Opcja</t>
  </si>
  <si>
    <t>Tabele 1-5</t>
  </si>
  <si>
    <t>Tabele 6-15</t>
  </si>
  <si>
    <t>Tabele dodatkowe</t>
  </si>
  <si>
    <t>WERSJA  1-BAZOWA</t>
  </si>
  <si>
    <t>RAZEM enova365</t>
  </si>
  <si>
    <t>enova365 e-mail</t>
  </si>
  <si>
    <t>enova365 Pulpit Kontrahenta</t>
  </si>
  <si>
    <t>enova365 Workflow w Pulpitach</t>
  </si>
  <si>
    <t>enova365 Pulpit Klienta Biura Rachunkowego</t>
  </si>
  <si>
    <t>Cena*</t>
  </si>
  <si>
    <t>MODUŁY DODATKOWE
*jeżeli licencja zawiera wyłącznie moduły platynowe
dowolne moduły dodatkowe w cenie</t>
  </si>
  <si>
    <t>Kalkulator jest materiałem pomocniczym przy szacowaniu zamówienia,</t>
  </si>
  <si>
    <t>Partner jest odpowiedzialny za przedstawioną Klientowi Ofertę</t>
  </si>
  <si>
    <t>i powinien każdorazowo sprawdzić zgodność cen z aktualnym cennikiem.</t>
  </si>
  <si>
    <t>enova365 Analizy MS Excel</t>
  </si>
  <si>
    <t>MODUŁY Serwerowe</t>
  </si>
  <si>
    <t>Stanowisko dostępowe [użytkownik jednoczesny]</t>
  </si>
  <si>
    <t>platyna jednofirmowa</t>
  </si>
  <si>
    <t>enova365 Kadry Płace wersja serwerowa</t>
  </si>
  <si>
    <t>enova365 Księga Podatkowa wersja serwerowa</t>
  </si>
  <si>
    <t>enova365 Księga Handlowa wersja serwerowa</t>
  </si>
  <si>
    <t>enova365 Księga Inwentarzowa wersja serwerowa</t>
  </si>
  <si>
    <t>enova365 Faktury wersja serwerowa</t>
  </si>
  <si>
    <t>enova365 Handel wersja serwerowa</t>
  </si>
  <si>
    <t>enova365 Produkcja wersja serwerowa</t>
  </si>
  <si>
    <t>enova365 CRM wersja serwerowa</t>
  </si>
  <si>
    <t>enova365 Serwis wersja serwerowa</t>
  </si>
  <si>
    <t>enova365 Szkolenia wersja serwerowa</t>
  </si>
  <si>
    <t>enova365 Wypożyczalnia wersja serwerowa</t>
  </si>
  <si>
    <t>enova365 Członkowie wersja serwerowa</t>
  </si>
  <si>
    <t>enova365 Workflow wersja serwerowa</t>
  </si>
  <si>
    <t>enova365 Projekty wersja serwerowa</t>
  </si>
  <si>
    <t>enova365 Podgląd wersja serwerowa</t>
  </si>
  <si>
    <t>enova365 Preliminarz EŚP wersja serwerowa</t>
  </si>
  <si>
    <t>enova365 Delegacje Służbowe wersja serwerowa</t>
  </si>
  <si>
    <t>enova365 Opis Analityczny Aktywacja wersja serwerowa</t>
  </si>
  <si>
    <t>SUMA MODUŁY Serwerowe Jednofirmowe</t>
  </si>
  <si>
    <t>Ilość standard</t>
  </si>
  <si>
    <t>SERWEROWY 1BAZA</t>
  </si>
  <si>
    <t>Ilość dodatkowych baz dla pulpitów</t>
  </si>
  <si>
    <t>Dopłata za użytkowanie Pulpitów enova365  w kolejnej bazie</t>
  </si>
  <si>
    <t>SUMA enova365 - instalacja podstawowa (5 baz)</t>
  </si>
  <si>
    <t>Dopłata za dodatkowe bazy w instalacji wielofirmowej</t>
  </si>
  <si>
    <t>- łączna ilość baz obsługiwana w instalacji</t>
  </si>
  <si>
    <t>ilość</t>
  </si>
  <si>
    <t>SUMA enova365 Pulpity z bazami</t>
  </si>
  <si>
    <t>enova365 DMS wersja serwerowa</t>
  </si>
  <si>
    <t>enova365 BI</t>
  </si>
  <si>
    <t>enova365 BI FIRMA</t>
  </si>
  <si>
    <t>SUMA BI</t>
  </si>
  <si>
    <t>BI</t>
  </si>
  <si>
    <t>jednobazowa</t>
  </si>
  <si>
    <t>BR i WF</t>
  </si>
  <si>
    <t>Dostęp Standard [=1]</t>
  </si>
  <si>
    <t>Dostęp Multi [=1]</t>
  </si>
  <si>
    <t>Cena standard [netto zł]</t>
  </si>
  <si>
    <t>Cena multi [netto zł]</t>
  </si>
  <si>
    <t>Multi</t>
  </si>
  <si>
    <t>enova365 Windykacja</t>
  </si>
  <si>
    <t>enova365 Windykacja wersja serwerowa</t>
  </si>
  <si>
    <t>platyna wielofirmowa</t>
  </si>
  <si>
    <t>enova365 Zarządzanie Odzieżą Roboczą (wyposażenie pracownika) </t>
  </si>
  <si>
    <t>enova365 Integrator</t>
  </si>
  <si>
    <t>enova365 Edycja kalendarza w Pulpicie Pracownika</t>
  </si>
  <si>
    <t>Ilość baz Wielofirmowa</t>
  </si>
  <si>
    <t xml:space="preserve">enova365 Pracownicy Eksportowi </t>
  </si>
  <si>
    <t>enova365 Pracownicy Prokuratury</t>
  </si>
  <si>
    <t>enova365 Rozrachunki Funduszy Pożyczkowych</t>
  </si>
  <si>
    <t>enova365 Czas Pracy</t>
  </si>
  <si>
    <t>enova365 Drukarki etykiet Zebra</t>
  </si>
  <si>
    <t>enova365 Przedstawiciel Handlowy</t>
  </si>
  <si>
    <t>enova365 Przedstawiciel Handlowy wersja serwerowa</t>
  </si>
  <si>
    <t>enova365 Kadry Płace</t>
  </si>
  <si>
    <t>enova365 Księga Podatkowa</t>
  </si>
  <si>
    <t>enova365 Księga Handlowa</t>
  </si>
  <si>
    <t>enova365 Księga Inwentarzowa</t>
  </si>
  <si>
    <t>enova365 Faktury</t>
  </si>
  <si>
    <t>enova365 Handel</t>
  </si>
  <si>
    <t>enova365 Produkcja</t>
  </si>
  <si>
    <t>enova365 CRM</t>
  </si>
  <si>
    <t>enova365 Serwis</t>
  </si>
  <si>
    <t>enova365 Szkolenia</t>
  </si>
  <si>
    <t>enova365 Wypożyczalnia</t>
  </si>
  <si>
    <t>enova365 Członkowie</t>
  </si>
  <si>
    <t>enova365 Workflow</t>
  </si>
  <si>
    <t>enova365 Projekty</t>
  </si>
  <si>
    <t>enova365 Podgląd</t>
  </si>
  <si>
    <t>enova365 Preliminarz EŚP</t>
  </si>
  <si>
    <t>enova365 Delegacje Służbowe</t>
  </si>
  <si>
    <t>enova365 Opis Analityczny Aktywacja</t>
  </si>
  <si>
    <t>Wartość dla Klienta netto</t>
  </si>
  <si>
    <t>minimum 25 
(przy pierwszym zakupie)</t>
  </si>
  <si>
    <t>moduły, które działają samodzielnie,
każdy z nich zawiera w sobie dostęp do:
- Ewidencji Środków Pieniężnych
- Ewidencji Dokumentów
- lista Kontrahenci i Urzędy</t>
  </si>
  <si>
    <t>enova365 e-Sklepy Konektor</t>
  </si>
  <si>
    <t>ABBYY FlexiCapture for Invoices</t>
  </si>
  <si>
    <t>na własność</t>
  </si>
  <si>
    <t>roczna</t>
  </si>
  <si>
    <t>5 000 stron rocznie</t>
  </si>
  <si>
    <t>-</t>
  </si>
  <si>
    <t>20 000 stron rocznie</t>
  </si>
  <si>
    <t>40 000 stron rocznie</t>
  </si>
  <si>
    <t>60 000 stron rocznie</t>
  </si>
  <si>
    <t>powyżej 60 000 stron rocznie</t>
  </si>
  <si>
    <t>indywidualna wycena</t>
  </si>
  <si>
    <t>ABBYY OCR AKTUALIZACJA</t>
  </si>
  <si>
    <t>enova365 Integracja OCR</t>
  </si>
  <si>
    <t>enova365 Integracja OCR AKTUALIZACJA</t>
  </si>
  <si>
    <t>ROCZNA 
1 stacja weryfikacji</t>
  </si>
  <si>
    <t>ROCZNA 
3 stacje weryfikacji</t>
  </si>
  <si>
    <t>NA WŁASNOŚĆ 
1 stacja weryfikacji</t>
  </si>
  <si>
    <t>NA WŁASNOŚĆ 
3 stacje weryfikacji</t>
  </si>
  <si>
    <t>Integracja z ABBYY OCR</t>
  </si>
  <si>
    <t>SUMA enova365 OCR</t>
  </si>
  <si>
    <r>
      <t>Przewidywany koszt usługi ABBYY FC4Inv Upgrade + Wsparcie techniczne dla licencji kupionej na własność
(</t>
    </r>
    <r>
      <rPr>
        <b/>
        <sz val="12"/>
        <rFont val="Calibri Light"/>
        <family val="2"/>
        <charset val="238"/>
      </rPr>
      <t>wykupowanej regularnie lub po przerwie w sytuacji gdy w międzyczasie nie pojawiła się nowa wersja ABBYY</t>
    </r>
    <r>
      <rPr>
        <sz val="12"/>
        <rFont val="Calibri Light"/>
        <family val="2"/>
        <charset val="238"/>
      </rPr>
      <t>)</t>
    </r>
  </si>
  <si>
    <r>
      <t>Przewidywany koszt usługi ABBYY FC4Inv Upgrade + Wsparcie techniczne dla licencji kupionej na własność
(</t>
    </r>
    <r>
      <rPr>
        <b/>
        <sz val="12"/>
        <rFont val="Calibri Light"/>
        <family val="2"/>
        <charset val="238"/>
      </rPr>
      <t>wykupowanej po przerwie w sytuacji gdy w międzyczasie pojawiła się nowa wersja ABBYY</t>
    </r>
    <r>
      <rPr>
        <sz val="12"/>
        <rFont val="Calibri Light"/>
        <family val="2"/>
        <charset val="238"/>
      </rPr>
      <t>)</t>
    </r>
  </si>
  <si>
    <r>
      <t>Przewidywany koszt usługi ABBYY FC4Inv Wsparcie techniczne dla licencji kupionej na własność
(</t>
    </r>
    <r>
      <rPr>
        <b/>
        <sz val="12"/>
        <rFont val="Calibri Light"/>
        <family val="2"/>
        <charset val="238"/>
      </rPr>
      <t>wykupowanej po przerwie w sytuacji gdy w międzyczasie pojawiła się nowa wersja ABBYY ale Klient nie chce mieć do niej dostępu</t>
    </r>
    <r>
      <rPr>
        <sz val="12"/>
        <rFont val="Calibri Light"/>
        <family val="2"/>
        <charset val="238"/>
      </rPr>
      <t>)</t>
    </r>
  </si>
  <si>
    <t>Przewidywany koszt Aktualizacji Terminowej enova365</t>
  </si>
  <si>
    <t>SERWEROWY 5BAZ</t>
  </si>
  <si>
    <t>do 50 kont</t>
  </si>
  <si>
    <t>do 100 kont</t>
  </si>
  <si>
    <t>do 200 kont</t>
  </si>
  <si>
    <t>do 500 kont</t>
  </si>
  <si>
    <t>do 1000 kont</t>
  </si>
  <si>
    <t>powyżej 1000 kont</t>
  </si>
  <si>
    <t>do 50 baz</t>
  </si>
  <si>
    <t>do 200 baz</t>
  </si>
  <si>
    <t>do 500 baz</t>
  </si>
  <si>
    <t>powyżej 500 baz</t>
  </si>
  <si>
    <t>enova365 Eksporty Dekretów List Płac</t>
  </si>
  <si>
    <t>enova365 Kurierzy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</si>
</sst>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&quot;zł&quot;* #,##0.00_);_(&quot;zł&quot;* \(#,##0.00\);_(&quot;zł&quot;* &quot;-&quot;??_);_(@_)"/>
    <numFmt numFmtId="166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0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sz val="12"/>
      <color theme="0"/>
      <name val="Calibri Light"/>
      <family val="2"/>
      <charset val="238"/>
    </font>
    <font>
      <sz val="11"/>
      <color theme="1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sz val="12"/>
      <name val="Calibri Light"/>
      <family val="2"/>
      <charset val="238"/>
    </font>
    <font>
      <b/>
      <sz val="12"/>
      <color rgb="FFFF0000"/>
      <name val="Calibri Light"/>
      <family val="2"/>
      <charset val="238"/>
    </font>
    <font>
      <sz val="11"/>
      <color rgb="FFFF0000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2"/>
      <name val="Calibri Light"/>
      <family val="2"/>
      <charset val="238"/>
    </font>
    <font>
      <b/>
      <sz val="12"/>
      <color rgb="FF76933C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b/>
      <sz val="11"/>
      <color rgb="FF76933C"/>
      <name val="Calibri Light"/>
      <family val="2"/>
      <charset val="238"/>
    </font>
    <font>
      <b/>
      <sz val="12"/>
      <color theme="6" tint="-0.249977111117893"/>
      <name val="Calibri Light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DF8A6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0FFA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3" xfId="0" applyFill="1" applyBorder="1"/>
    <xf numFmtId="0" fontId="0" fillId="0" borderId="5" xfId="0" applyFill="1" applyBorder="1"/>
    <xf numFmtId="0" fontId="1" fillId="3" borderId="1" xfId="0" applyFont="1" applyFill="1" applyBorder="1"/>
    <xf numFmtId="0" fontId="0" fillId="3" borderId="2" xfId="0" applyFill="1" applyBorder="1"/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Fill="1" applyBorder="1"/>
    <xf numFmtId="3" fontId="0" fillId="0" borderId="4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6" xfId="0" applyNumberFormat="1" applyBorder="1"/>
    <xf numFmtId="0" fontId="1" fillId="3" borderId="24" xfId="0" applyFont="1" applyFill="1" applyBorder="1"/>
    <xf numFmtId="0" fontId="1" fillId="4" borderId="0" xfId="0" applyFont="1" applyFill="1"/>
    <xf numFmtId="0" fontId="1" fillId="3" borderId="2" xfId="0" applyFont="1" applyFill="1" applyBorder="1"/>
    <xf numFmtId="9" fontId="0" fillId="0" borderId="7" xfId="3" applyFont="1" applyBorder="1"/>
    <xf numFmtId="0" fontId="1" fillId="8" borderId="0" xfId="0" applyFont="1" applyFill="1"/>
    <xf numFmtId="3" fontId="0" fillId="0" borderId="3" xfId="0" applyNumberFormat="1" applyBorder="1"/>
    <xf numFmtId="3" fontId="0" fillId="0" borderId="5" xfId="0" applyNumberFormat="1" applyBorder="1"/>
    <xf numFmtId="0" fontId="1" fillId="8" borderId="0" xfId="0" applyFont="1" applyFill="1" applyBorder="1"/>
    <xf numFmtId="0" fontId="5" fillId="9" borderId="14" xfId="0" applyFont="1" applyFill="1" applyBorder="1" applyAlignment="1">
      <alignment horizontal="center" vertical="center"/>
    </xf>
    <xf numFmtId="166" fontId="5" fillId="9" borderId="15" xfId="0" applyNumberFormat="1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/>
    </xf>
    <xf numFmtId="166" fontId="7" fillId="9" borderId="12" xfId="0" applyNumberFormat="1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/>
    </xf>
    <xf numFmtId="0" fontId="8" fillId="0" borderId="0" xfId="0" applyFont="1"/>
    <xf numFmtId="4" fontId="9" fillId="6" borderId="8" xfId="0" applyNumberFormat="1" applyFont="1" applyFill="1" applyBorder="1"/>
    <xf numFmtId="0" fontId="9" fillId="10" borderId="8" xfId="0" applyFont="1" applyFill="1" applyBorder="1" applyAlignment="1">
      <alignment horizontal="center"/>
    </xf>
    <xf numFmtId="4" fontId="9" fillId="6" borderId="10" xfId="0" applyNumberFormat="1" applyFont="1" applyFill="1" applyBorder="1"/>
    <xf numFmtId="4" fontId="9" fillId="6" borderId="8" xfId="0" applyNumberFormat="1" applyFont="1" applyFill="1" applyBorder="1" applyAlignment="1">
      <alignment horizontal="right"/>
    </xf>
    <xf numFmtId="0" fontId="9" fillId="9" borderId="8" xfId="0" applyFont="1" applyFill="1" applyBorder="1"/>
    <xf numFmtId="4" fontId="9" fillId="9" borderId="10" xfId="0" applyNumberFormat="1" applyFont="1" applyFill="1" applyBorder="1"/>
    <xf numFmtId="0" fontId="9" fillId="10" borderId="20" xfId="0" applyFont="1" applyFill="1" applyBorder="1" applyAlignment="1">
      <alignment horizontal="center"/>
    </xf>
    <xf numFmtId="4" fontId="9" fillId="9" borderId="8" xfId="0" applyNumberFormat="1" applyFont="1" applyFill="1" applyBorder="1"/>
    <xf numFmtId="0" fontId="9" fillId="6" borderId="20" xfId="0" applyFont="1" applyFill="1" applyBorder="1" applyAlignment="1">
      <alignment horizontal="center"/>
    </xf>
    <xf numFmtId="0" fontId="9" fillId="6" borderId="9" xfId="0" applyFont="1" applyFill="1" applyBorder="1"/>
    <xf numFmtId="0" fontId="6" fillId="2" borderId="8" xfId="0" applyFont="1" applyFill="1" applyBorder="1"/>
    <xf numFmtId="4" fontId="6" fillId="2" borderId="8" xfId="0" applyNumberFormat="1" applyFont="1" applyFill="1" applyBorder="1"/>
    <xf numFmtId="0" fontId="6" fillId="2" borderId="20" xfId="0" applyFont="1" applyFill="1" applyBorder="1"/>
    <xf numFmtId="4" fontId="6" fillId="2" borderId="10" xfId="0" applyNumberFormat="1" applyFont="1" applyFill="1" applyBorder="1"/>
    <xf numFmtId="0" fontId="6" fillId="9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/>
    </xf>
    <xf numFmtId="0" fontId="6" fillId="5" borderId="17" xfId="0" applyFont="1" applyFill="1" applyBorder="1"/>
    <xf numFmtId="0" fontId="6" fillId="5" borderId="28" xfId="0" applyFont="1" applyFill="1" applyBorder="1"/>
    <xf numFmtId="4" fontId="6" fillId="5" borderId="18" xfId="0" applyNumberFormat="1" applyFont="1" applyFill="1" applyBorder="1"/>
    <xf numFmtId="0" fontId="9" fillId="5" borderId="21" xfId="0" applyFont="1" applyFill="1" applyBorder="1"/>
    <xf numFmtId="0" fontId="9" fillId="5" borderId="23" xfId="0" applyFont="1" applyFill="1" applyBorder="1"/>
    <xf numFmtId="0" fontId="8" fillId="0" borderId="0" xfId="0" applyFont="1" applyFill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7" xfId="0" applyFont="1" applyBorder="1"/>
    <xf numFmtId="0" fontId="5" fillId="9" borderId="2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4" fontId="7" fillId="9" borderId="8" xfId="0" applyNumberFormat="1" applyFont="1" applyFill="1" applyBorder="1"/>
    <xf numFmtId="4" fontId="7" fillId="9" borderId="10" xfId="0" applyNumberFormat="1" applyFont="1" applyFill="1" applyBorder="1"/>
    <xf numFmtId="4" fontId="7" fillId="9" borderId="20" xfId="0" applyNumberFormat="1" applyFont="1" applyFill="1" applyBorder="1"/>
    <xf numFmtId="0" fontId="6" fillId="11" borderId="14" xfId="0" applyFont="1" applyFill="1" applyBorder="1"/>
    <xf numFmtId="0" fontId="9" fillId="11" borderId="15" xfId="0" applyFont="1" applyFill="1" applyBorder="1"/>
    <xf numFmtId="0" fontId="9" fillId="11" borderId="22" xfId="0" applyFont="1" applyFill="1" applyBorder="1"/>
    <xf numFmtId="4" fontId="6" fillId="11" borderId="16" xfId="0" applyNumberFormat="1" applyFont="1" applyFill="1" applyBorder="1"/>
    <xf numFmtId="4" fontId="9" fillId="6" borderId="9" xfId="0" applyNumberFormat="1" applyFont="1" applyFill="1" applyBorder="1"/>
    <xf numFmtId="0" fontId="9" fillId="2" borderId="8" xfId="0" applyFont="1" applyFill="1" applyBorder="1" applyAlignment="1">
      <alignment horizontal="center"/>
    </xf>
    <xf numFmtId="4" fontId="9" fillId="2" borderId="8" xfId="0" applyNumberFormat="1" applyFont="1" applyFill="1" applyBorder="1"/>
    <xf numFmtId="0" fontId="9" fillId="2" borderId="20" xfId="0" applyFont="1" applyFill="1" applyBorder="1" applyAlignment="1">
      <alignment horizontal="center"/>
    </xf>
    <xf numFmtId="0" fontId="5" fillId="9" borderId="22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4" fontId="5" fillId="9" borderId="8" xfId="0" applyNumberFormat="1" applyFont="1" applyFill="1" applyBorder="1" applyAlignment="1">
      <alignment horizontal="center" vertical="center"/>
    </xf>
    <xf numFmtId="4" fontId="5" fillId="9" borderId="10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5" fillId="9" borderId="9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9" fontId="9" fillId="10" borderId="8" xfId="0" applyNumberFormat="1" applyFont="1" applyFill="1" applyBorder="1" applyAlignment="1">
      <alignment horizontal="center"/>
    </xf>
    <xf numFmtId="9" fontId="9" fillId="5" borderId="8" xfId="0" applyNumberFormat="1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4" fontId="9" fillId="5" borderId="10" xfId="0" applyNumberFormat="1" applyFont="1" applyFill="1" applyBorder="1"/>
    <xf numFmtId="0" fontId="9" fillId="10" borderId="20" xfId="0" applyFont="1" applyFill="1" applyBorder="1" applyAlignment="1" applyProtection="1">
      <alignment horizontal="center"/>
      <protection locked="0"/>
    </xf>
    <xf numFmtId="4" fontId="9" fillId="2" borderId="20" xfId="0" applyNumberFormat="1" applyFont="1" applyFill="1" applyBorder="1"/>
    <xf numFmtId="4" fontId="9" fillId="6" borderId="20" xfId="0" applyNumberFormat="1" applyFont="1" applyFill="1" applyBorder="1" applyAlignment="1">
      <alignment horizontal="right"/>
    </xf>
    <xf numFmtId="4" fontId="8" fillId="0" borderId="0" xfId="0" applyNumberFormat="1" applyFont="1" applyFill="1"/>
    <xf numFmtId="4" fontId="12" fillId="0" borderId="0" xfId="0" applyNumberFormat="1" applyFont="1" applyFill="1"/>
    <xf numFmtId="4" fontId="13" fillId="0" borderId="0" xfId="0" applyNumberFormat="1" applyFont="1"/>
    <xf numFmtId="164" fontId="8" fillId="0" borderId="0" xfId="4" applyFont="1"/>
    <xf numFmtId="164" fontId="8" fillId="0" borderId="0" xfId="0" applyNumberFormat="1" applyFont="1"/>
    <xf numFmtId="0" fontId="6" fillId="2" borderId="9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4" fontId="9" fillId="2" borderId="17" xfId="0" applyNumberFormat="1" applyFont="1" applyFill="1" applyBorder="1"/>
    <xf numFmtId="0" fontId="9" fillId="2" borderId="28" xfId="0" applyFont="1" applyFill="1" applyBorder="1" applyAlignment="1">
      <alignment horizontal="center"/>
    </xf>
    <xf numFmtId="4" fontId="6" fillId="2" borderId="18" xfId="0" applyNumberFormat="1" applyFont="1" applyFill="1" applyBorder="1"/>
    <xf numFmtId="0" fontId="6" fillId="2" borderId="11" xfId="0" applyFont="1" applyFill="1" applyBorder="1" applyAlignment="1">
      <alignment horizontal="center"/>
    </xf>
    <xf numFmtId="4" fontId="9" fillId="2" borderId="30" xfId="0" applyNumberFormat="1" applyFont="1" applyFill="1" applyBorder="1"/>
    <xf numFmtId="4" fontId="9" fillId="2" borderId="12" xfId="0" applyNumberFormat="1" applyFont="1" applyFill="1" applyBorder="1"/>
    <xf numFmtId="9" fontId="9" fillId="9" borderId="20" xfId="0" applyNumberFormat="1" applyFont="1" applyFill="1" applyBorder="1" applyAlignment="1">
      <alignment horizontal="center"/>
    </xf>
    <xf numFmtId="0" fontId="9" fillId="12" borderId="29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6" fillId="2" borderId="17" xfId="0" applyFont="1" applyFill="1" applyBorder="1"/>
    <xf numFmtId="4" fontId="6" fillId="2" borderId="17" xfId="0" applyNumberFormat="1" applyFont="1" applyFill="1" applyBorder="1"/>
    <xf numFmtId="0" fontId="6" fillId="2" borderId="28" xfId="0" applyFont="1" applyFill="1" applyBorder="1"/>
    <xf numFmtId="0" fontId="9" fillId="6" borderId="9" xfId="0" applyFont="1" applyFill="1" applyBorder="1" applyAlignment="1">
      <alignment horizontal="center" wrapText="1"/>
    </xf>
    <xf numFmtId="9" fontId="9" fillId="6" borderId="8" xfId="0" applyNumberFormat="1" applyFont="1" applyFill="1" applyBorder="1" applyAlignment="1">
      <alignment vertical="center"/>
    </xf>
    <xf numFmtId="0" fontId="9" fillId="10" borderId="8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/>
    </xf>
    <xf numFmtId="3" fontId="9" fillId="10" borderId="8" xfId="0" applyNumberFormat="1" applyFont="1" applyFill="1" applyBorder="1" applyAlignment="1">
      <alignment horizontal="center"/>
    </xf>
    <xf numFmtId="0" fontId="9" fillId="14" borderId="31" xfId="0" applyFont="1" applyFill="1" applyBorder="1" applyAlignment="1">
      <alignment horizontal="center" wrapText="1"/>
    </xf>
    <xf numFmtId="0" fontId="9" fillId="14" borderId="28" xfId="0" applyFont="1" applyFill="1" applyBorder="1" applyAlignment="1">
      <alignment horizontal="center" vertical="center"/>
    </xf>
    <xf numFmtId="9" fontId="9" fillId="14" borderId="33" xfId="0" applyNumberFormat="1" applyFont="1" applyFill="1" applyBorder="1" applyAlignment="1">
      <alignment vertical="center"/>
    </xf>
    <xf numFmtId="9" fontId="9" fillId="14" borderId="34" xfId="0" applyNumberFormat="1" applyFont="1" applyFill="1" applyBorder="1" applyAlignment="1">
      <alignment vertical="center"/>
    </xf>
    <xf numFmtId="0" fontId="9" fillId="14" borderId="17" xfId="0" applyFont="1" applyFill="1" applyBorder="1" applyAlignment="1">
      <alignment horizontal="center" vertical="center"/>
    </xf>
    <xf numFmtId="4" fontId="9" fillId="14" borderId="18" xfId="0" applyNumberFormat="1" applyFont="1" applyFill="1" applyBorder="1" applyAlignment="1">
      <alignment vertical="center"/>
    </xf>
    <xf numFmtId="4" fontId="6" fillId="6" borderId="10" xfId="0" applyNumberFormat="1" applyFont="1" applyFill="1" applyBorder="1" applyAlignment="1">
      <alignment vertical="center"/>
    </xf>
    <xf numFmtId="4" fontId="6" fillId="14" borderId="18" xfId="0" applyNumberFormat="1" applyFont="1" applyFill="1" applyBorder="1" applyAlignment="1">
      <alignment vertical="center"/>
    </xf>
    <xf numFmtId="0" fontId="6" fillId="13" borderId="31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left"/>
    </xf>
    <xf numFmtId="0" fontId="6" fillId="13" borderId="33" xfId="0" applyFont="1" applyFill="1" applyBorder="1" applyAlignment="1">
      <alignment horizontal="left"/>
    </xf>
    <xf numFmtId="0" fontId="6" fillId="13" borderId="34" xfId="0" applyFont="1" applyFill="1" applyBorder="1" applyAlignment="1">
      <alignment horizontal="left"/>
    </xf>
    <xf numFmtId="2" fontId="6" fillId="13" borderId="28" xfId="0" applyNumberFormat="1" applyFont="1" applyFill="1" applyBorder="1" applyAlignment="1">
      <alignment horizontal="center"/>
    </xf>
    <xf numFmtId="49" fontId="6" fillId="13" borderId="34" xfId="0" applyNumberFormat="1" applyFont="1" applyFill="1" applyBorder="1" applyAlignment="1">
      <alignment horizontal="left" vertical="center"/>
    </xf>
    <xf numFmtId="49" fontId="6" fillId="13" borderId="30" xfId="0" applyNumberFormat="1" applyFont="1" applyFill="1" applyBorder="1" applyAlignment="1">
      <alignment horizontal="left" vertical="center"/>
    </xf>
    <xf numFmtId="2" fontId="6" fillId="13" borderId="17" xfId="0" applyNumberFormat="1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4" fontId="6" fillId="9" borderId="10" xfId="0" applyNumberFormat="1" applyFont="1" applyFill="1" applyBorder="1"/>
    <xf numFmtId="0" fontId="9" fillId="0" borderId="0" xfId="0" applyFont="1"/>
    <xf numFmtId="0" fontId="14" fillId="6" borderId="9" xfId="0" applyFont="1" applyFill="1" applyBorder="1" applyAlignment="1">
      <alignment horizontal="left"/>
    </xf>
    <xf numFmtId="0" fontId="9" fillId="6" borderId="8" xfId="0" applyFont="1" applyFill="1" applyBorder="1"/>
    <xf numFmtId="0" fontId="10" fillId="14" borderId="9" xfId="0" applyFont="1" applyFill="1" applyBorder="1" applyAlignment="1">
      <alignment horizontal="center"/>
    </xf>
    <xf numFmtId="0" fontId="9" fillId="14" borderId="8" xfId="0" applyFont="1" applyFill="1" applyBorder="1"/>
    <xf numFmtId="4" fontId="9" fillId="14" borderId="8" xfId="0" applyNumberFormat="1" applyFont="1" applyFill="1" applyBorder="1"/>
    <xf numFmtId="0" fontId="9" fillId="14" borderId="8" xfId="0" applyFont="1" applyFill="1" applyBorder="1" applyAlignment="1">
      <alignment horizontal="center"/>
    </xf>
    <xf numFmtId="0" fontId="9" fillId="14" borderId="20" xfId="0" applyFont="1" applyFill="1" applyBorder="1" applyAlignment="1">
      <alignment horizontal="center"/>
    </xf>
    <xf numFmtId="4" fontId="6" fillId="14" borderId="10" xfId="0" applyNumberFormat="1" applyFont="1" applyFill="1" applyBorder="1"/>
    <xf numFmtId="0" fontId="0" fillId="3" borderId="1" xfId="0" applyFill="1" applyBorder="1"/>
    <xf numFmtId="0" fontId="14" fillId="0" borderId="5" xfId="0" applyFont="1" applyFill="1" applyBorder="1" applyAlignment="1">
      <alignment horizontal="left"/>
    </xf>
    <xf numFmtId="4" fontId="9" fillId="6" borderId="31" xfId="0" applyNumberFormat="1" applyFont="1" applyFill="1" applyBorder="1"/>
    <xf numFmtId="4" fontId="6" fillId="13" borderId="18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wrapText="1"/>
    </xf>
    <xf numFmtId="4" fontId="15" fillId="6" borderId="9" xfId="0" applyNumberFormat="1" applyFont="1" applyFill="1" applyBorder="1"/>
    <xf numFmtId="0" fontId="16" fillId="0" borderId="0" xfId="0" applyFont="1"/>
    <xf numFmtId="0" fontId="17" fillId="0" borderId="0" xfId="0" applyFont="1"/>
    <xf numFmtId="3" fontId="0" fillId="0" borderId="3" xfId="0" applyNumberFormat="1" applyFill="1" applyBorder="1"/>
    <xf numFmtId="0" fontId="0" fillId="0" borderId="35" xfId="0" applyBorder="1"/>
    <xf numFmtId="0" fontId="0" fillId="0" borderId="0" xfId="0" applyAlignment="1">
      <alignment wrapText="1"/>
    </xf>
    <xf numFmtId="0" fontId="9" fillId="10" borderId="20" xfId="0" applyFont="1" applyFill="1" applyBorder="1" applyAlignment="1">
      <alignment horizontal="center" wrapText="1"/>
    </xf>
    <xf numFmtId="4" fontId="9" fillId="6" borderId="8" xfId="0" applyNumberFormat="1" applyFont="1" applyFill="1" applyBorder="1" applyAlignment="1">
      <alignment horizontal="right" wrapText="1"/>
    </xf>
    <xf numFmtId="4" fontId="9" fillId="6" borderId="10" xfId="0" applyNumberFormat="1" applyFont="1" applyFill="1" applyBorder="1" applyAlignment="1">
      <alignment wrapText="1"/>
    </xf>
    <xf numFmtId="4" fontId="9" fillId="9" borderId="12" xfId="0" applyNumberFormat="1" applyFont="1" applyFill="1" applyBorder="1"/>
    <xf numFmtId="0" fontId="6" fillId="9" borderId="12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4" fontId="9" fillId="9" borderId="13" xfId="0" applyNumberFormat="1" applyFont="1" applyFill="1" applyBorder="1"/>
    <xf numFmtId="0" fontId="9" fillId="5" borderId="8" xfId="0" applyFont="1" applyFill="1" applyBorder="1"/>
    <xf numFmtId="9" fontId="9" fillId="5" borderId="8" xfId="0" applyNumberFormat="1" applyFont="1" applyFill="1" applyBorder="1"/>
    <xf numFmtId="4" fontId="11" fillId="5" borderId="10" xfId="0" applyNumberFormat="1" applyFont="1" applyFill="1" applyBorder="1"/>
    <xf numFmtId="4" fontId="6" fillId="16" borderId="16" xfId="0" applyNumberFormat="1" applyFont="1" applyFill="1" applyBorder="1"/>
    <xf numFmtId="4" fontId="10" fillId="16" borderId="2" xfId="0" applyNumberFormat="1" applyFont="1" applyFill="1" applyBorder="1" applyAlignment="1">
      <alignment horizontal="right"/>
    </xf>
    <xf numFmtId="4" fontId="10" fillId="16" borderId="16" xfId="0" applyNumberFormat="1" applyFont="1" applyFill="1" applyBorder="1" applyAlignment="1">
      <alignment horizontal="right"/>
    </xf>
    <xf numFmtId="164" fontId="18" fillId="0" borderId="0" xfId="4" applyFont="1" applyAlignment="1">
      <alignment vertical="top" wrapText="1"/>
    </xf>
    <xf numFmtId="164" fontId="15" fillId="0" borderId="0" xfId="4" applyFont="1" applyAlignment="1">
      <alignment vertical="top" wrapText="1"/>
    </xf>
    <xf numFmtId="164" fontId="11" fillId="0" borderId="0" xfId="4" applyFont="1" applyAlignment="1">
      <alignment vertical="top" wrapText="1"/>
    </xf>
    <xf numFmtId="3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3" fontId="0" fillId="0" borderId="1" xfId="0" applyNumberFormat="1" applyBorder="1"/>
    <xf numFmtId="3" fontId="0" fillId="0" borderId="2" xfId="0" applyNumberFormat="1" applyBorder="1"/>
    <xf numFmtId="9" fontId="0" fillId="0" borderId="0" xfId="0" applyNumberFormat="1"/>
    <xf numFmtId="0" fontId="14" fillId="15" borderId="24" xfId="0" applyFont="1" applyFill="1" applyBorder="1" applyAlignment="1">
      <alignment horizontal="left" wrapText="1"/>
    </xf>
    <xf numFmtId="0" fontId="14" fillId="15" borderId="25" xfId="0" applyFont="1" applyFill="1" applyBorder="1" applyAlignment="1">
      <alignment horizontal="left" wrapText="1"/>
    </xf>
    <xf numFmtId="0" fontId="14" fillId="15" borderId="37" xfId="0" applyFont="1" applyFill="1" applyBorder="1" applyAlignment="1">
      <alignment horizontal="left" wrapText="1"/>
    </xf>
    <xf numFmtId="0" fontId="14" fillId="16" borderId="24" xfId="0" applyFont="1" applyFill="1" applyBorder="1" applyAlignment="1">
      <alignment horizontal="left"/>
    </xf>
    <xf numFmtId="0" fontId="14" fillId="16" borderId="25" xfId="0" applyFont="1" applyFill="1" applyBorder="1" applyAlignment="1">
      <alignment horizontal="left"/>
    </xf>
    <xf numFmtId="0" fontId="14" fillId="16" borderId="37" xfId="0" applyFont="1" applyFill="1" applyBorder="1" applyAlignment="1">
      <alignment horizontal="left"/>
    </xf>
    <xf numFmtId="0" fontId="9" fillId="6" borderId="21" xfId="0" applyFont="1" applyFill="1" applyBorder="1" applyAlignment="1">
      <alignment horizontal="left"/>
    </xf>
    <xf numFmtId="0" fontId="9" fillId="6" borderId="27" xfId="0" applyFont="1" applyFill="1" applyBorder="1" applyAlignment="1">
      <alignment horizontal="left"/>
    </xf>
    <xf numFmtId="0" fontId="9" fillId="6" borderId="19" xfId="0" applyFont="1" applyFill="1" applyBorder="1" applyAlignment="1">
      <alignment horizontal="left"/>
    </xf>
    <xf numFmtId="0" fontId="5" fillId="9" borderId="21" xfId="0" applyFont="1" applyFill="1" applyBorder="1" applyAlignment="1">
      <alignment horizontal="center" vertical="center"/>
    </xf>
    <xf numFmtId="0" fontId="5" fillId="9" borderId="36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6" fillId="2" borderId="21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4" fontId="6" fillId="13" borderId="18" xfId="0" applyNumberFormat="1" applyFont="1" applyFill="1" applyBorder="1" applyAlignment="1">
      <alignment horizontal="right" vertical="center"/>
    </xf>
    <xf numFmtId="4" fontId="6" fillId="13" borderId="13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6" fillId="13" borderId="31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49" fontId="6" fillId="13" borderId="28" xfId="0" quotePrefix="1" applyNumberFormat="1" applyFont="1" applyFill="1" applyBorder="1" applyAlignment="1">
      <alignment horizontal="center" vertical="center" wrapText="1"/>
    </xf>
    <xf numFmtId="49" fontId="6" fillId="13" borderId="34" xfId="0" quotePrefix="1" applyNumberFormat="1" applyFont="1" applyFill="1" applyBorder="1" applyAlignment="1">
      <alignment horizontal="center" vertical="center" wrapText="1"/>
    </xf>
    <xf numFmtId="49" fontId="6" fillId="13" borderId="29" xfId="0" quotePrefix="1" applyNumberFormat="1" applyFont="1" applyFill="1" applyBorder="1" applyAlignment="1">
      <alignment horizontal="center" vertical="center" wrapText="1"/>
    </xf>
    <xf numFmtId="49" fontId="6" fillId="13" borderId="30" xfId="0" quotePrefix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</cellXfs>
  <cellStyles count="5">
    <cellStyle name="Dziesiętny" xfId="4" builtinId="3"/>
    <cellStyle name="Normalny" xfId="0" builtinId="0"/>
    <cellStyle name="Normalny 2" xfId="1"/>
    <cellStyle name="Procentowy" xfId="3" builtinId="5"/>
    <cellStyle name="Walutowy 2" xfId="2"/>
  </cellStyles>
  <dxfs count="0"/>
  <tableStyles count="0" defaultTableStyle="TableStyleMedium2" defaultPivotStyle="PivotStyleLight16"/>
  <colors>
    <mruColors>
      <color rgb="FFC4D79B"/>
      <color rgb="FF76933C"/>
      <color rgb="FFD9D9D9"/>
      <color rgb="FFE0FFA3"/>
      <color rgb="FF92CDDC"/>
      <color rgb="FFFDF8A6"/>
      <color rgb="FFDAEEF3"/>
      <color rgb="FFF2F2F2"/>
      <color rgb="FFFFFF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90"/>
  <sheetViews>
    <sheetView zoomScale="80" zoomScaleNormal="80" workbookViewId="0">
      <selection activeCell="J16" sqref="J16"/>
    </sheetView>
  </sheetViews>
  <sheetFormatPr defaultColWidth="9.109375" defaultRowHeight="14.4" x14ac:dyDescent="0.3"/>
  <cols>
    <col min="1" max="1" width="66.33203125" style="32" customWidth="1"/>
    <col min="2" max="2" width="27.44140625" style="32" customWidth="1"/>
    <col min="3" max="3" width="19.6640625" style="32" customWidth="1"/>
    <col min="4" max="4" width="18.109375" style="32" bestFit="1" customWidth="1"/>
    <col min="5" max="6" width="13.88671875" style="32" customWidth="1"/>
    <col min="7" max="7" width="18.109375" style="32" customWidth="1"/>
    <col min="8" max="8" width="12.6640625" style="32" customWidth="1"/>
    <col min="9" max="9" width="10.6640625" style="32" bestFit="1" customWidth="1"/>
    <col min="10" max="10" width="76.6640625" style="32" bestFit="1" customWidth="1"/>
    <col min="11" max="11" width="10.6640625" style="32" bestFit="1" customWidth="1"/>
    <col min="12" max="16384" width="9.109375" style="32"/>
  </cols>
  <sheetData>
    <row r="1" spans="1:10" ht="78" x14ac:dyDescent="0.3">
      <c r="A1" s="25" t="s">
        <v>9</v>
      </c>
      <c r="B1" s="72" t="s">
        <v>10</v>
      </c>
      <c r="C1" s="26" t="s">
        <v>100</v>
      </c>
      <c r="D1" s="26" t="s">
        <v>101</v>
      </c>
      <c r="E1" s="27" t="s">
        <v>98</v>
      </c>
      <c r="F1" s="27" t="s">
        <v>99</v>
      </c>
      <c r="G1" s="28" t="s">
        <v>11</v>
      </c>
      <c r="H1" s="77" t="s">
        <v>14</v>
      </c>
      <c r="J1" s="169" t="s">
        <v>137</v>
      </c>
    </row>
    <row r="2" spans="1:10" ht="15.6" x14ac:dyDescent="0.3">
      <c r="A2" s="73" t="s">
        <v>60</v>
      </c>
      <c r="B2" s="74"/>
      <c r="C2" s="29"/>
      <c r="D2" s="29"/>
      <c r="E2" s="30"/>
      <c r="F2" s="103">
        <v>0.15</v>
      </c>
      <c r="G2" s="31"/>
      <c r="H2" s="32">
        <f>IF(G24&gt;0,1,0)</f>
        <v>0</v>
      </c>
    </row>
    <row r="3" spans="1:10" ht="15.6" x14ac:dyDescent="0.3">
      <c r="A3" s="150" t="s">
        <v>63</v>
      </c>
      <c r="B3" s="86" t="s">
        <v>62</v>
      </c>
      <c r="C3" s="33">
        <f>'Cennik enova365'!B7</f>
        <v>22050</v>
      </c>
      <c r="D3" s="33">
        <f>C3*1.15</f>
        <v>25357.499999999996</v>
      </c>
      <c r="E3" s="34">
        <v>0</v>
      </c>
      <c r="F3" s="39">
        <v>0</v>
      </c>
      <c r="G3" s="35">
        <f t="shared" ref="G3:G23" si="0">IF(OR(OR(E3&gt;1,F3&gt;1),F3&gt;E3),"błąd",C3*E3+F3*C3*$F$2)</f>
        <v>0</v>
      </c>
      <c r="H3" s="32">
        <f t="shared" ref="H3:H26" si="1">IF(G3&gt;0,1,0)</f>
        <v>0</v>
      </c>
    </row>
    <row r="4" spans="1:10" ht="15.6" customHeight="1" x14ac:dyDescent="0.3">
      <c r="A4" s="150" t="s">
        <v>64</v>
      </c>
      <c r="B4" s="86" t="s">
        <v>62</v>
      </c>
      <c r="C4" s="33">
        <f>'Cennik enova365'!B8</f>
        <v>5250</v>
      </c>
      <c r="D4" s="33">
        <f t="shared" ref="D4:D23" si="2">C4*1.15</f>
        <v>6037.4999999999991</v>
      </c>
      <c r="E4" s="34">
        <v>0</v>
      </c>
      <c r="F4" s="39">
        <v>0</v>
      </c>
      <c r="G4" s="35">
        <f t="shared" si="0"/>
        <v>0</v>
      </c>
      <c r="H4" s="32">
        <f t="shared" si="1"/>
        <v>0</v>
      </c>
      <c r="J4" s="169"/>
    </row>
    <row r="5" spans="1:10" ht="15.6" x14ac:dyDescent="0.3">
      <c r="A5" s="150" t="s">
        <v>65</v>
      </c>
      <c r="B5" s="86" t="s">
        <v>62</v>
      </c>
      <c r="C5" s="33">
        <f>'Cennik enova365'!B9</f>
        <v>22050</v>
      </c>
      <c r="D5" s="33">
        <f t="shared" si="2"/>
        <v>25357.499999999996</v>
      </c>
      <c r="E5" s="34">
        <v>0</v>
      </c>
      <c r="F5" s="39">
        <v>0</v>
      </c>
      <c r="G5" s="35">
        <f>IF(AND((E4+F4&gt;0),(E5+F5)&gt;0),"usuń Ks. Podatkową",IF(OR(OR(E5&gt;1,F5&gt;1),F5&gt;E5),"błąd",C5*E5+F5*C5*$F$2))</f>
        <v>0</v>
      </c>
      <c r="H5" s="32">
        <f t="shared" si="1"/>
        <v>0</v>
      </c>
      <c r="J5" s="171" t="str">
        <f>IF(G5="usuń Ks. Podatkową","Ks. Podatkowej i Handlowej nie można łączyć w ramach jednej licencji"," ")</f>
        <v xml:space="preserve"> </v>
      </c>
    </row>
    <row r="6" spans="1:10" ht="15.6" x14ac:dyDescent="0.3">
      <c r="A6" s="150" t="s">
        <v>66</v>
      </c>
      <c r="B6" s="86" t="s">
        <v>62</v>
      </c>
      <c r="C6" s="33">
        <f>'Cennik enova365'!B10</f>
        <v>10000</v>
      </c>
      <c r="D6" s="33">
        <f t="shared" si="2"/>
        <v>11500</v>
      </c>
      <c r="E6" s="34">
        <v>0</v>
      </c>
      <c r="F6" s="39">
        <v>0</v>
      </c>
      <c r="G6" s="35">
        <f t="shared" si="0"/>
        <v>0</v>
      </c>
      <c r="H6" s="32">
        <f t="shared" si="1"/>
        <v>0</v>
      </c>
      <c r="J6" s="169"/>
    </row>
    <row r="7" spans="1:10" ht="15.6" x14ac:dyDescent="0.3">
      <c r="A7" s="68" t="s">
        <v>104</v>
      </c>
      <c r="B7" s="86" t="s">
        <v>62</v>
      </c>
      <c r="C7" s="33">
        <f>'Cennik enova365'!B11</f>
        <v>15000</v>
      </c>
      <c r="D7" s="33">
        <f t="shared" si="2"/>
        <v>17250</v>
      </c>
      <c r="E7" s="34">
        <v>0</v>
      </c>
      <c r="F7" s="39">
        <v>0</v>
      </c>
      <c r="G7" s="35">
        <f t="shared" si="0"/>
        <v>0</v>
      </c>
      <c r="H7" s="32">
        <f t="shared" si="1"/>
        <v>0</v>
      </c>
      <c r="J7" s="169"/>
    </row>
    <row r="8" spans="1:10" ht="15.6" x14ac:dyDescent="0.3">
      <c r="A8" s="150" t="s">
        <v>67</v>
      </c>
      <c r="B8" s="86" t="s">
        <v>62</v>
      </c>
      <c r="C8" s="33">
        <f>'Cennik enova365'!B12</f>
        <v>5000</v>
      </c>
      <c r="D8" s="33">
        <f t="shared" si="2"/>
        <v>5750</v>
      </c>
      <c r="E8" s="39">
        <v>0</v>
      </c>
      <c r="F8" s="39">
        <v>0</v>
      </c>
      <c r="G8" s="35">
        <f t="shared" si="0"/>
        <v>0</v>
      </c>
      <c r="H8" s="32">
        <f t="shared" si="1"/>
        <v>0</v>
      </c>
      <c r="J8" s="169"/>
    </row>
    <row r="9" spans="1:10" ht="15.6" x14ac:dyDescent="0.3">
      <c r="A9" s="150" t="s">
        <v>68</v>
      </c>
      <c r="B9" s="86" t="s">
        <v>62</v>
      </c>
      <c r="C9" s="33">
        <f>'Cennik enova365'!B13</f>
        <v>21000</v>
      </c>
      <c r="D9" s="33">
        <f t="shared" si="2"/>
        <v>24149.999999999996</v>
      </c>
      <c r="E9" s="39">
        <v>0</v>
      </c>
      <c r="F9" s="39">
        <v>0</v>
      </c>
      <c r="G9" s="35">
        <f>IF(AND((E8+F8&gt;0),(E9+F9&gt;0)),"usuń Faktury",IF(OR(OR(E9&gt;1,F9&gt;1),F9&gt;E9),"błąd",C9*E9+F9*C9*$F$2))</f>
        <v>0</v>
      </c>
      <c r="H9" s="32">
        <f t="shared" si="1"/>
        <v>0</v>
      </c>
      <c r="J9" s="151" t="str">
        <f>IF(G9="usuń Faktury","Faktur i Handlu nie można łączyć w ramach jednej licencji"," ")</f>
        <v xml:space="preserve"> </v>
      </c>
    </row>
    <row r="10" spans="1:10" ht="15.6" x14ac:dyDescent="0.3">
      <c r="A10" s="68" t="s">
        <v>116</v>
      </c>
      <c r="B10" s="86" t="s">
        <v>62</v>
      </c>
      <c r="C10" s="33">
        <f>'Cennik enova365'!B14</f>
        <v>5000</v>
      </c>
      <c r="D10" s="33">
        <f t="shared" si="2"/>
        <v>5750</v>
      </c>
      <c r="E10" s="34">
        <v>0</v>
      </c>
      <c r="F10" s="39">
        <v>0</v>
      </c>
      <c r="G10" s="35">
        <f t="shared" si="0"/>
        <v>0</v>
      </c>
      <c r="H10" s="32">
        <f t="shared" si="1"/>
        <v>0</v>
      </c>
    </row>
    <row r="11" spans="1:10" ht="15.6" x14ac:dyDescent="0.3">
      <c r="A11" s="68" t="s">
        <v>69</v>
      </c>
      <c r="B11" s="86" t="s">
        <v>62</v>
      </c>
      <c r="C11" s="33">
        <f>'Cennik enova365'!B15</f>
        <v>20000</v>
      </c>
      <c r="D11" s="33">
        <f t="shared" si="2"/>
        <v>23000</v>
      </c>
      <c r="E11" s="34">
        <v>0</v>
      </c>
      <c r="F11" s="39">
        <v>0</v>
      </c>
      <c r="G11" s="35">
        <f t="shared" si="0"/>
        <v>0</v>
      </c>
      <c r="H11" s="32">
        <f t="shared" si="1"/>
        <v>0</v>
      </c>
    </row>
    <row r="12" spans="1:10" ht="15.6" x14ac:dyDescent="0.3">
      <c r="A12" s="150" t="s">
        <v>70</v>
      </c>
      <c r="B12" s="86" t="s">
        <v>62</v>
      </c>
      <c r="C12" s="33">
        <f>'Cennik enova365'!B16</f>
        <v>15450</v>
      </c>
      <c r="D12" s="33">
        <f t="shared" si="2"/>
        <v>17767.5</v>
      </c>
      <c r="E12" s="39">
        <v>0</v>
      </c>
      <c r="F12" s="39">
        <v>0</v>
      </c>
      <c r="G12" s="35">
        <f t="shared" si="0"/>
        <v>0</v>
      </c>
      <c r="H12" s="32">
        <f t="shared" si="1"/>
        <v>0</v>
      </c>
      <c r="J12" s="152" t="str">
        <f>IF(E12+F12&gt;0,"zawiera pełną funcjonalność e-mail"," ")</f>
        <v xml:space="preserve"> </v>
      </c>
    </row>
    <row r="13" spans="1:10" ht="15.6" x14ac:dyDescent="0.3">
      <c r="A13" s="150" t="s">
        <v>71</v>
      </c>
      <c r="B13" s="86" t="s">
        <v>62</v>
      </c>
      <c r="C13" s="33">
        <f>'Cennik enova365'!B17</f>
        <v>5000</v>
      </c>
      <c r="D13" s="33">
        <f t="shared" si="2"/>
        <v>5750</v>
      </c>
      <c r="E13" s="39">
        <v>0</v>
      </c>
      <c r="F13" s="39">
        <v>0</v>
      </c>
      <c r="G13" s="35">
        <f t="shared" si="0"/>
        <v>0</v>
      </c>
      <c r="H13" s="32">
        <f>IF(G13&gt;0,1,0)</f>
        <v>0</v>
      </c>
    </row>
    <row r="14" spans="1:10" ht="15.6" x14ac:dyDescent="0.3">
      <c r="A14" s="150" t="s">
        <v>72</v>
      </c>
      <c r="B14" s="86" t="s">
        <v>62</v>
      </c>
      <c r="C14" s="33">
        <f>'Cennik enova365'!B18</f>
        <v>5000</v>
      </c>
      <c r="D14" s="33">
        <f t="shared" si="2"/>
        <v>5750</v>
      </c>
      <c r="E14" s="39">
        <v>0</v>
      </c>
      <c r="F14" s="39">
        <v>0</v>
      </c>
      <c r="G14" s="35">
        <f t="shared" si="0"/>
        <v>0</v>
      </c>
      <c r="H14" s="32">
        <f t="shared" si="1"/>
        <v>0</v>
      </c>
    </row>
    <row r="15" spans="1:10" ht="15.6" x14ac:dyDescent="0.3">
      <c r="A15" s="150" t="s">
        <v>73</v>
      </c>
      <c r="B15" s="86" t="s">
        <v>62</v>
      </c>
      <c r="C15" s="33">
        <f>'Cennik enova365'!B19</f>
        <v>5000</v>
      </c>
      <c r="D15" s="33">
        <f t="shared" si="2"/>
        <v>5750</v>
      </c>
      <c r="E15" s="39">
        <v>0</v>
      </c>
      <c r="F15" s="39">
        <v>0</v>
      </c>
      <c r="G15" s="35">
        <f t="shared" si="0"/>
        <v>0</v>
      </c>
      <c r="H15" s="32">
        <f t="shared" si="1"/>
        <v>0</v>
      </c>
    </row>
    <row r="16" spans="1:10" ht="15.6" x14ac:dyDescent="0.3">
      <c r="A16" s="150" t="s">
        <v>74</v>
      </c>
      <c r="B16" s="86" t="s">
        <v>62</v>
      </c>
      <c r="C16" s="33">
        <f>'Cennik enova365'!B20</f>
        <v>5000</v>
      </c>
      <c r="D16" s="33">
        <f t="shared" si="2"/>
        <v>5750</v>
      </c>
      <c r="E16" s="39">
        <v>0</v>
      </c>
      <c r="F16" s="39">
        <v>0</v>
      </c>
      <c r="G16" s="35">
        <f t="shared" si="0"/>
        <v>0</v>
      </c>
      <c r="H16" s="32">
        <f>IF(G16&gt;0,1,0)</f>
        <v>0</v>
      </c>
    </row>
    <row r="17" spans="1:12" ht="15.6" x14ac:dyDescent="0.3">
      <c r="A17" s="68" t="s">
        <v>75</v>
      </c>
      <c r="B17" s="86" t="s">
        <v>62</v>
      </c>
      <c r="C17" s="33">
        <f>'Cennik enova365'!B21</f>
        <v>15000</v>
      </c>
      <c r="D17" s="33">
        <f t="shared" si="2"/>
        <v>17250</v>
      </c>
      <c r="E17" s="34">
        <v>0</v>
      </c>
      <c r="F17" s="39">
        <v>0</v>
      </c>
      <c r="G17" s="35">
        <f t="shared" si="0"/>
        <v>0</v>
      </c>
      <c r="H17" s="32">
        <f t="shared" si="1"/>
        <v>0</v>
      </c>
    </row>
    <row r="18" spans="1:12" ht="15.6" x14ac:dyDescent="0.3">
      <c r="A18" s="68" t="s">
        <v>91</v>
      </c>
      <c r="B18" s="86" t="s">
        <v>62</v>
      </c>
      <c r="C18" s="33">
        <f>'Cennik enova365'!B22</f>
        <v>5000</v>
      </c>
      <c r="D18" s="33">
        <f t="shared" si="2"/>
        <v>5750</v>
      </c>
      <c r="E18" s="34">
        <v>0</v>
      </c>
      <c r="F18" s="39">
        <v>0</v>
      </c>
      <c r="G18" s="35">
        <f t="shared" si="0"/>
        <v>0</v>
      </c>
      <c r="H18" s="32">
        <f t="shared" si="1"/>
        <v>0</v>
      </c>
    </row>
    <row r="19" spans="1:12" ht="15.6" x14ac:dyDescent="0.3">
      <c r="A19" s="150" t="s">
        <v>76</v>
      </c>
      <c r="B19" s="86" t="s">
        <v>62</v>
      </c>
      <c r="C19" s="33">
        <f>'Cennik enova365'!B23</f>
        <v>20000</v>
      </c>
      <c r="D19" s="33">
        <f t="shared" si="2"/>
        <v>23000</v>
      </c>
      <c r="E19" s="39">
        <v>0</v>
      </c>
      <c r="F19" s="39">
        <v>0</v>
      </c>
      <c r="G19" s="35">
        <f t="shared" si="0"/>
        <v>0</v>
      </c>
      <c r="H19" s="32">
        <f t="shared" si="1"/>
        <v>0</v>
      </c>
      <c r="J19" s="152" t="str">
        <f>IF(E19+F19&gt;0,"zawiera pełną funcjonalność CRM oraz e-mail"," ")</f>
        <v xml:space="preserve"> </v>
      </c>
    </row>
    <row r="20" spans="1:12" ht="15.6" x14ac:dyDescent="0.3">
      <c r="A20" s="68" t="s">
        <v>77</v>
      </c>
      <c r="B20" s="86" t="s">
        <v>62</v>
      </c>
      <c r="C20" s="33">
        <f>'Cennik enova365'!B24</f>
        <v>5000</v>
      </c>
      <c r="D20" s="33">
        <f t="shared" si="2"/>
        <v>5750</v>
      </c>
      <c r="E20" s="34">
        <v>0</v>
      </c>
      <c r="F20" s="39">
        <v>0</v>
      </c>
      <c r="G20" s="35">
        <f t="shared" si="0"/>
        <v>0</v>
      </c>
      <c r="H20" s="32">
        <f>IF(G20&gt;0,1,0)</f>
        <v>0</v>
      </c>
    </row>
    <row r="21" spans="1:12" ht="15.6" x14ac:dyDescent="0.3">
      <c r="A21" s="150" t="s">
        <v>78</v>
      </c>
      <c r="B21" s="86" t="s">
        <v>62</v>
      </c>
      <c r="C21" s="33">
        <f>'Cennik enova365'!B25</f>
        <v>10000</v>
      </c>
      <c r="D21" s="33">
        <f t="shared" si="2"/>
        <v>11500</v>
      </c>
      <c r="E21" s="39">
        <v>0</v>
      </c>
      <c r="F21" s="39">
        <v>0</v>
      </c>
      <c r="G21" s="35">
        <f t="shared" si="0"/>
        <v>0</v>
      </c>
      <c r="H21" s="32">
        <f>IF(G21&gt;0,1,0)</f>
        <v>0</v>
      </c>
    </row>
    <row r="22" spans="1:12" ht="15.6" x14ac:dyDescent="0.3">
      <c r="A22" s="150" t="s">
        <v>79</v>
      </c>
      <c r="B22" s="86" t="s">
        <v>62</v>
      </c>
      <c r="C22" s="33">
        <f>'Cennik enova365'!B26</f>
        <v>5000</v>
      </c>
      <c r="D22" s="33">
        <f t="shared" si="2"/>
        <v>5750</v>
      </c>
      <c r="E22" s="39">
        <v>0</v>
      </c>
      <c r="F22" s="39">
        <v>0</v>
      </c>
      <c r="G22" s="35">
        <f t="shared" si="0"/>
        <v>0</v>
      </c>
      <c r="H22" s="32">
        <f t="shared" si="1"/>
        <v>0</v>
      </c>
    </row>
    <row r="23" spans="1:12" ht="15.6" x14ac:dyDescent="0.3">
      <c r="A23" s="147" t="s">
        <v>80</v>
      </c>
      <c r="B23" s="86" t="s">
        <v>62</v>
      </c>
      <c r="C23" s="33">
        <f>'Cennik enova365'!B27</f>
        <v>5000</v>
      </c>
      <c r="D23" s="33">
        <f t="shared" si="2"/>
        <v>5750</v>
      </c>
      <c r="E23" s="39">
        <v>0</v>
      </c>
      <c r="F23" s="39">
        <v>0</v>
      </c>
      <c r="G23" s="35">
        <f t="shared" si="0"/>
        <v>0</v>
      </c>
      <c r="H23" s="32">
        <f t="shared" si="1"/>
        <v>0</v>
      </c>
    </row>
    <row r="24" spans="1:12" ht="15.6" x14ac:dyDescent="0.3">
      <c r="A24" s="95" t="s">
        <v>81</v>
      </c>
      <c r="B24" s="96"/>
      <c r="C24" s="97"/>
      <c r="D24" s="97"/>
      <c r="E24" s="98"/>
      <c r="F24" s="98"/>
      <c r="G24" s="99">
        <f>SUM(G3:G23)</f>
        <v>0</v>
      </c>
      <c r="H24" s="32">
        <f t="shared" si="1"/>
        <v>0</v>
      </c>
    </row>
    <row r="25" spans="1:12" ht="31.2" x14ac:dyDescent="0.3">
      <c r="A25" s="80"/>
      <c r="B25" s="81"/>
      <c r="C25" s="26" t="s">
        <v>100</v>
      </c>
      <c r="D25" s="26" t="s">
        <v>101</v>
      </c>
      <c r="E25" s="105" t="s">
        <v>82</v>
      </c>
      <c r="F25" s="105" t="s">
        <v>102</v>
      </c>
      <c r="G25" s="60"/>
      <c r="H25" s="32">
        <f>H26</f>
        <v>0</v>
      </c>
    </row>
    <row r="26" spans="1:12" ht="33" customHeight="1" x14ac:dyDescent="0.3">
      <c r="A26" s="100" t="s">
        <v>61</v>
      </c>
      <c r="B26" s="149" t="s">
        <v>136</v>
      </c>
      <c r="C26" s="101">
        <v>2500</v>
      </c>
      <c r="D26" s="102">
        <f>C26*1.15</f>
        <v>2875</v>
      </c>
      <c r="E26" s="104">
        <v>0</v>
      </c>
      <c r="F26" s="104">
        <v>0</v>
      </c>
      <c r="G26" s="35">
        <f>IF(OR(E26="",E26=0),0,IF(OR(F26&gt;E26,AND(F26&gt;0,E26&lt;&gt;F26),E26&lt;20),"niedostępne",C26*E26+F26*C26*$F$2))</f>
        <v>0</v>
      </c>
      <c r="H26" s="32">
        <f t="shared" si="1"/>
        <v>0</v>
      </c>
    </row>
    <row r="27" spans="1:12" s="11" customFormat="1" ht="15.6" x14ac:dyDescent="0.3">
      <c r="A27" s="132" t="s">
        <v>92</v>
      </c>
      <c r="B27" s="37"/>
      <c r="C27" s="40"/>
      <c r="D27" s="40"/>
      <c r="E27" s="133" t="s">
        <v>25</v>
      </c>
      <c r="F27" s="134" t="s">
        <v>26</v>
      </c>
      <c r="G27" s="135"/>
      <c r="H27" s="136">
        <f>H29</f>
        <v>0</v>
      </c>
    </row>
    <row r="28" spans="1:12" s="11" customFormat="1" ht="15.6" x14ac:dyDescent="0.3">
      <c r="A28" s="137" t="s">
        <v>93</v>
      </c>
      <c r="B28" s="138"/>
      <c r="C28" s="33">
        <f>'Cennik enova365'!B104</f>
        <v>24990</v>
      </c>
      <c r="D28" s="33">
        <f>'Cennik enova365'!C104</f>
        <v>29990</v>
      </c>
      <c r="E28" s="34" t="s">
        <v>4</v>
      </c>
      <c r="F28" s="34" t="s">
        <v>4</v>
      </c>
      <c r="G28" s="35">
        <f>IF(AND(E28="TAK",F28="NIE"),C28,IF(AND(E28="TAK",F28="TAK"),D28,IF(AND(E28="NIE",F28="TAK"),"błąd",0)))</f>
        <v>0</v>
      </c>
      <c r="H28" s="136">
        <f t="shared" ref="H28:H29" si="3">IF(G28&gt;0,1,0)</f>
        <v>0</v>
      </c>
    </row>
    <row r="29" spans="1:12" s="11" customFormat="1" ht="15.6" x14ac:dyDescent="0.3">
      <c r="A29" s="139" t="s">
        <v>94</v>
      </c>
      <c r="B29" s="140"/>
      <c r="C29" s="141"/>
      <c r="D29" s="141"/>
      <c r="E29" s="142"/>
      <c r="F29" s="143"/>
      <c r="G29" s="144">
        <f>SUM(G28:G28)</f>
        <v>0</v>
      </c>
      <c r="H29" s="136">
        <f t="shared" si="3"/>
        <v>0</v>
      </c>
    </row>
    <row r="30" spans="1:12" ht="47.25" customHeight="1" x14ac:dyDescent="0.3">
      <c r="A30" s="189" t="s">
        <v>55</v>
      </c>
      <c r="B30" s="190"/>
      <c r="C30" s="191"/>
      <c r="D30" s="75" t="s">
        <v>54</v>
      </c>
      <c r="E30" s="59"/>
      <c r="F30" s="59"/>
      <c r="G30" s="76"/>
      <c r="H30" s="32">
        <f>IF(SUM(H31:H55)&gt;0,1,0)</f>
        <v>0</v>
      </c>
    </row>
    <row r="31" spans="1:12" ht="15.6" x14ac:dyDescent="0.3">
      <c r="A31" s="183" t="s">
        <v>110</v>
      </c>
      <c r="B31" s="184"/>
      <c r="C31" s="185"/>
      <c r="D31" s="36">
        <f>'Cennik enova365'!B31</f>
        <v>2490</v>
      </c>
      <c r="E31" s="34" t="s">
        <v>4</v>
      </c>
      <c r="F31" s="41"/>
      <c r="G31" s="35">
        <v>0</v>
      </c>
      <c r="H31" s="32">
        <f>IF(E31="TAK",1,0)</f>
        <v>0</v>
      </c>
      <c r="I31" s="192"/>
      <c r="J31" s="192"/>
      <c r="K31" s="192"/>
      <c r="L31" s="192"/>
    </row>
    <row r="32" spans="1:12" ht="15.6" x14ac:dyDescent="0.3">
      <c r="A32" s="183" t="s">
        <v>33</v>
      </c>
      <c r="B32" s="184"/>
      <c r="C32" s="185"/>
      <c r="D32" s="36">
        <f>'Cennik enova365'!B32</f>
        <v>2490</v>
      </c>
      <c r="E32" s="34" t="s">
        <v>4</v>
      </c>
      <c r="F32" s="41"/>
      <c r="G32" s="35">
        <v>0</v>
      </c>
      <c r="H32" s="32">
        <f t="shared" ref="H32:H55" si="4">IF(E32="TAK",1,0)</f>
        <v>0</v>
      </c>
    </row>
    <row r="33" spans="1:8" ht="15.6" x14ac:dyDescent="0.3">
      <c r="A33" s="183" t="s">
        <v>111</v>
      </c>
      <c r="B33" s="184"/>
      <c r="C33" s="185"/>
      <c r="D33" s="36">
        <f>'Cennik enova365'!B33</f>
        <v>7500</v>
      </c>
      <c r="E33" s="34" t="s">
        <v>4</v>
      </c>
      <c r="F33" s="41"/>
      <c r="G33" s="35">
        <v>0</v>
      </c>
      <c r="H33" s="32">
        <f t="shared" si="4"/>
        <v>0</v>
      </c>
    </row>
    <row r="34" spans="1:8" ht="15.6" x14ac:dyDescent="0.3">
      <c r="A34" s="183" t="s">
        <v>112</v>
      </c>
      <c r="B34" s="184"/>
      <c r="C34" s="185"/>
      <c r="D34" s="36">
        <f>'Cennik enova365'!B34</f>
        <v>695</v>
      </c>
      <c r="E34" s="34" t="s">
        <v>4</v>
      </c>
      <c r="F34" s="41"/>
      <c r="G34" s="35">
        <v>0</v>
      </c>
      <c r="H34" s="32">
        <f t="shared" si="4"/>
        <v>0</v>
      </c>
    </row>
    <row r="35" spans="1:8" ht="15.6" x14ac:dyDescent="0.3">
      <c r="A35" s="183" t="s">
        <v>34</v>
      </c>
      <c r="B35" s="184"/>
      <c r="C35" s="185"/>
      <c r="D35" s="36">
        <f>'Cennik enova365'!B35</f>
        <v>1990</v>
      </c>
      <c r="E35" s="34" t="s">
        <v>4</v>
      </c>
      <c r="F35" s="41"/>
      <c r="G35" s="35">
        <v>0</v>
      </c>
      <c r="H35" s="32">
        <f t="shared" si="4"/>
        <v>0</v>
      </c>
    </row>
    <row r="36" spans="1:8" ht="15.6" x14ac:dyDescent="0.3">
      <c r="A36" s="183" t="s">
        <v>113</v>
      </c>
      <c r="B36" s="184"/>
      <c r="C36" s="185"/>
      <c r="D36" s="36">
        <f>'Cennik enova365'!B36</f>
        <v>1990</v>
      </c>
      <c r="E36" s="34" t="s">
        <v>4</v>
      </c>
      <c r="F36" s="41"/>
      <c r="G36" s="35">
        <v>0</v>
      </c>
      <c r="H36" s="32">
        <f t="shared" si="4"/>
        <v>0</v>
      </c>
    </row>
    <row r="37" spans="1:8" ht="15.6" x14ac:dyDescent="0.3">
      <c r="A37" s="183" t="s">
        <v>106</v>
      </c>
      <c r="B37" s="184"/>
      <c r="C37" s="185"/>
      <c r="D37" s="36">
        <f>'Cennik enova365'!B37</f>
        <v>1490</v>
      </c>
      <c r="E37" s="34" t="s">
        <v>4</v>
      </c>
      <c r="F37" s="41"/>
      <c r="G37" s="35">
        <v>0</v>
      </c>
      <c r="H37" s="32">
        <f t="shared" si="4"/>
        <v>0</v>
      </c>
    </row>
    <row r="38" spans="1:8" ht="15.6" x14ac:dyDescent="0.3">
      <c r="A38" s="183" t="s">
        <v>173</v>
      </c>
      <c r="B38" s="184"/>
      <c r="C38" s="185"/>
      <c r="D38" s="36">
        <f>'Cennik enova365'!B38</f>
        <v>890</v>
      </c>
      <c r="E38" s="34" t="s">
        <v>4</v>
      </c>
      <c r="F38" s="41"/>
      <c r="G38" s="35">
        <v>0</v>
      </c>
      <c r="H38" s="32">
        <f t="shared" si="4"/>
        <v>0</v>
      </c>
    </row>
    <row r="39" spans="1:8" ht="15.6" x14ac:dyDescent="0.3">
      <c r="A39" s="183" t="s">
        <v>59</v>
      </c>
      <c r="B39" s="184"/>
      <c r="C39" s="185"/>
      <c r="D39" s="36">
        <f>'Cennik enova365'!B39</f>
        <v>2490</v>
      </c>
      <c r="E39" s="34" t="s">
        <v>4</v>
      </c>
      <c r="F39" s="41"/>
      <c r="G39" s="35">
        <v>0</v>
      </c>
      <c r="H39" s="32">
        <f t="shared" si="4"/>
        <v>0</v>
      </c>
    </row>
    <row r="40" spans="1:8" ht="15.6" x14ac:dyDescent="0.3">
      <c r="A40" s="183" t="s">
        <v>28</v>
      </c>
      <c r="B40" s="184"/>
      <c r="C40" s="185"/>
      <c r="D40" s="36">
        <f>'Cennik enova365'!B40</f>
        <v>1990</v>
      </c>
      <c r="E40" s="34" t="s">
        <v>4</v>
      </c>
      <c r="F40" s="41"/>
      <c r="G40" s="35">
        <v>0</v>
      </c>
      <c r="H40" s="32">
        <f t="shared" si="4"/>
        <v>0</v>
      </c>
    </row>
    <row r="41" spans="1:8" ht="15.6" x14ac:dyDescent="0.3">
      <c r="A41" s="183" t="s">
        <v>29</v>
      </c>
      <c r="B41" s="184"/>
      <c r="C41" s="185"/>
      <c r="D41" s="36">
        <f>'Cennik enova365'!B41</f>
        <v>2190</v>
      </c>
      <c r="E41" s="34" t="s">
        <v>4</v>
      </c>
      <c r="F41" s="41"/>
      <c r="G41" s="35">
        <v>0</v>
      </c>
      <c r="H41" s="32">
        <f t="shared" si="4"/>
        <v>0</v>
      </c>
    </row>
    <row r="42" spans="1:8" ht="15.6" x14ac:dyDescent="0.3">
      <c r="A42" s="183" t="s">
        <v>30</v>
      </c>
      <c r="B42" s="184"/>
      <c r="C42" s="185"/>
      <c r="D42" s="36">
        <f>'Cennik enova365'!B42</f>
        <v>2490</v>
      </c>
      <c r="E42" s="34" t="s">
        <v>4</v>
      </c>
      <c r="F42" s="41"/>
      <c r="G42" s="35">
        <v>0</v>
      </c>
      <c r="H42" s="32">
        <f t="shared" si="4"/>
        <v>0</v>
      </c>
    </row>
    <row r="43" spans="1:8" ht="15.6" x14ac:dyDescent="0.3">
      <c r="A43" s="183" t="s">
        <v>31</v>
      </c>
      <c r="B43" s="184"/>
      <c r="C43" s="185"/>
      <c r="D43" s="36">
        <f>'Cennik enova365'!B43</f>
        <v>1490</v>
      </c>
      <c r="E43" s="34" t="s">
        <v>4</v>
      </c>
      <c r="F43" s="41"/>
      <c r="G43" s="35">
        <v>0</v>
      </c>
      <c r="H43" s="32">
        <f t="shared" si="4"/>
        <v>0</v>
      </c>
    </row>
    <row r="44" spans="1:8" ht="15.6" x14ac:dyDescent="0.3">
      <c r="A44" s="183" t="s">
        <v>32</v>
      </c>
      <c r="B44" s="184"/>
      <c r="C44" s="185"/>
      <c r="D44" s="36">
        <f>'Cennik enova365'!B44</f>
        <v>1490</v>
      </c>
      <c r="E44" s="34" t="s">
        <v>4</v>
      </c>
      <c r="F44" s="41"/>
      <c r="G44" s="35">
        <v>0</v>
      </c>
      <c r="H44" s="32">
        <f t="shared" si="4"/>
        <v>0</v>
      </c>
    </row>
    <row r="45" spans="1:8" ht="15.6" x14ac:dyDescent="0.3">
      <c r="A45" s="183" t="s">
        <v>35</v>
      </c>
      <c r="B45" s="184"/>
      <c r="C45" s="185"/>
      <c r="D45" s="36">
        <f>'Cennik enova365'!B45</f>
        <v>690</v>
      </c>
      <c r="E45" s="34" t="s">
        <v>4</v>
      </c>
      <c r="F45" s="41"/>
      <c r="G45" s="35">
        <v>0</v>
      </c>
      <c r="H45" s="32">
        <f t="shared" si="4"/>
        <v>0</v>
      </c>
    </row>
    <row r="46" spans="1:8" ht="15.6" x14ac:dyDescent="0.3">
      <c r="A46" s="183" t="s">
        <v>39</v>
      </c>
      <c r="B46" s="184"/>
      <c r="C46" s="185"/>
      <c r="D46" s="36">
        <f>'Cennik enova365'!B46</f>
        <v>720</v>
      </c>
      <c r="E46" s="34" t="s">
        <v>4</v>
      </c>
      <c r="F46" s="41"/>
      <c r="G46" s="35">
        <v>0</v>
      </c>
      <c r="H46" s="32">
        <f t="shared" si="4"/>
        <v>0</v>
      </c>
    </row>
    <row r="47" spans="1:8" ht="15.6" x14ac:dyDescent="0.3">
      <c r="A47" s="183" t="s">
        <v>114</v>
      </c>
      <c r="B47" s="184"/>
      <c r="C47" s="185"/>
      <c r="D47" s="36">
        <f>'Cennik enova365'!B47</f>
        <v>190</v>
      </c>
      <c r="E47" s="34" t="s">
        <v>4</v>
      </c>
      <c r="F47" s="41"/>
      <c r="G47" s="35">
        <v>0</v>
      </c>
      <c r="H47" s="32">
        <f t="shared" si="4"/>
        <v>0</v>
      </c>
    </row>
    <row r="48" spans="1:8" ht="15.6" x14ac:dyDescent="0.3">
      <c r="A48" s="183" t="s">
        <v>38</v>
      </c>
      <c r="B48" s="184"/>
      <c r="C48" s="185"/>
      <c r="D48" s="36">
        <f>'Cennik enova365'!B48</f>
        <v>1990</v>
      </c>
      <c r="E48" s="34" t="s">
        <v>4</v>
      </c>
      <c r="F48" s="41"/>
      <c r="G48" s="35">
        <v>0</v>
      </c>
      <c r="H48" s="32">
        <f t="shared" si="4"/>
        <v>0</v>
      </c>
    </row>
    <row r="49" spans="1:8" ht="15.6" x14ac:dyDescent="0.3">
      <c r="A49" s="183" t="s">
        <v>138</v>
      </c>
      <c r="B49" s="184"/>
      <c r="C49" s="185"/>
      <c r="D49" s="36">
        <f>'Cennik enova365'!B49</f>
        <v>1990</v>
      </c>
      <c r="E49" s="34" t="s">
        <v>4</v>
      </c>
      <c r="F49" s="41"/>
      <c r="G49" s="35">
        <v>0</v>
      </c>
      <c r="H49" s="32">
        <f t="shared" si="4"/>
        <v>0</v>
      </c>
    </row>
    <row r="50" spans="1:8" ht="15.6" x14ac:dyDescent="0.3">
      <c r="A50" s="183" t="s">
        <v>107</v>
      </c>
      <c r="B50" s="184"/>
      <c r="C50" s="185"/>
      <c r="D50" s="36">
        <f>'Cennik enova365'!B50</f>
        <v>4980</v>
      </c>
      <c r="E50" s="34" t="s">
        <v>4</v>
      </c>
      <c r="F50" s="41"/>
      <c r="G50" s="35">
        <v>0</v>
      </c>
      <c r="H50" s="32">
        <f t="shared" si="4"/>
        <v>0</v>
      </c>
    </row>
    <row r="51" spans="1:8" ht="15.6" x14ac:dyDescent="0.3">
      <c r="A51" s="183" t="s">
        <v>174</v>
      </c>
      <c r="B51" s="184"/>
      <c r="C51" s="185"/>
      <c r="D51" s="36">
        <f>'Cennik enova365'!B51</f>
        <v>1490</v>
      </c>
      <c r="E51" s="34" t="s">
        <v>4</v>
      </c>
      <c r="F51" s="41"/>
      <c r="G51" s="35">
        <v>0</v>
      </c>
      <c r="H51" s="32">
        <f t="shared" si="4"/>
        <v>0</v>
      </c>
    </row>
    <row r="52" spans="1:8" ht="15.6" x14ac:dyDescent="0.3">
      <c r="A52" s="183" t="s">
        <v>36</v>
      </c>
      <c r="B52" s="184"/>
      <c r="C52" s="185"/>
      <c r="D52" s="36">
        <f>'Cennik enova365'!B52</f>
        <v>890</v>
      </c>
      <c r="E52" s="34" t="s">
        <v>4</v>
      </c>
      <c r="F52" s="41"/>
      <c r="G52" s="35">
        <v>0</v>
      </c>
      <c r="H52" s="32">
        <f t="shared" si="4"/>
        <v>0</v>
      </c>
    </row>
    <row r="53" spans="1:8" ht="15.6" x14ac:dyDescent="0.3">
      <c r="A53" s="183" t="s">
        <v>37</v>
      </c>
      <c r="B53" s="184"/>
      <c r="C53" s="185"/>
      <c r="D53" s="36">
        <f>'Cennik enova365'!B53</f>
        <v>890</v>
      </c>
      <c r="E53" s="34" t="s">
        <v>4</v>
      </c>
      <c r="F53" s="41"/>
      <c r="G53" s="35">
        <v>0</v>
      </c>
      <c r="H53" s="32">
        <f t="shared" si="4"/>
        <v>0</v>
      </c>
    </row>
    <row r="54" spans="1:8" ht="15.6" x14ac:dyDescent="0.3">
      <c r="A54" s="183" t="s">
        <v>50</v>
      </c>
      <c r="B54" s="184"/>
      <c r="C54" s="185"/>
      <c r="D54" s="36">
        <f>'Cennik enova365'!B54</f>
        <v>1990</v>
      </c>
      <c r="E54" s="34" t="s">
        <v>4</v>
      </c>
      <c r="F54" s="41"/>
      <c r="G54" s="35">
        <v>0</v>
      </c>
      <c r="H54" s="32">
        <f t="shared" si="4"/>
        <v>0</v>
      </c>
    </row>
    <row r="55" spans="1:8" ht="15.6" x14ac:dyDescent="0.3">
      <c r="A55" s="183" t="s">
        <v>40</v>
      </c>
      <c r="B55" s="184"/>
      <c r="C55" s="185"/>
      <c r="D55" s="36">
        <f>'Cennik enova365'!B55</f>
        <v>1490</v>
      </c>
      <c r="E55" s="34" t="s">
        <v>4</v>
      </c>
      <c r="F55" s="41"/>
      <c r="G55" s="35">
        <v>0</v>
      </c>
      <c r="H55" s="32">
        <f t="shared" si="4"/>
        <v>0</v>
      </c>
    </row>
    <row r="56" spans="1:8" ht="15.6" x14ac:dyDescent="0.3">
      <c r="A56" s="193" t="s">
        <v>23</v>
      </c>
      <c r="B56" s="194"/>
      <c r="C56" s="195"/>
      <c r="D56" s="70"/>
      <c r="E56" s="87"/>
      <c r="F56" s="71"/>
      <c r="G56" s="46">
        <f>SUM(G31:G55)</f>
        <v>0</v>
      </c>
      <c r="H56" s="32">
        <f>IF(SUM(H31:H55)&gt;0,1,0)</f>
        <v>0</v>
      </c>
    </row>
    <row r="57" spans="1:8" ht="52.5" customHeight="1" x14ac:dyDescent="0.3">
      <c r="A57" s="189" t="s">
        <v>22</v>
      </c>
      <c r="B57" s="190"/>
      <c r="C57" s="191"/>
      <c r="D57" s="61"/>
      <c r="E57" s="63"/>
      <c r="F57" s="59"/>
      <c r="G57" s="62"/>
      <c r="H57" s="32">
        <f>H58</f>
        <v>0</v>
      </c>
    </row>
    <row r="58" spans="1:8" ht="15.6" x14ac:dyDescent="0.3">
      <c r="A58" s="42" t="s">
        <v>47</v>
      </c>
      <c r="B58" s="39" t="s">
        <v>4</v>
      </c>
      <c r="C58" s="36" t="s">
        <v>21</v>
      </c>
      <c r="D58" s="36"/>
      <c r="E58" s="88"/>
      <c r="F58" s="41"/>
      <c r="G58" s="35">
        <v>0</v>
      </c>
      <c r="H58" s="32">
        <f>IF(B58="TAK",1,0)</f>
        <v>0</v>
      </c>
    </row>
    <row r="59" spans="1:8" ht="15.6" x14ac:dyDescent="0.3">
      <c r="A59" s="94" t="s">
        <v>24</v>
      </c>
      <c r="B59" s="69"/>
      <c r="C59" s="70"/>
      <c r="D59" s="70"/>
      <c r="E59" s="87"/>
      <c r="F59" s="71"/>
      <c r="G59" s="46">
        <f>SUM(G58:G58)</f>
        <v>0</v>
      </c>
      <c r="H59" s="32">
        <f>H58</f>
        <v>0</v>
      </c>
    </row>
    <row r="60" spans="1:8" ht="15.6" x14ac:dyDescent="0.3">
      <c r="A60" s="80" t="s">
        <v>19</v>
      </c>
      <c r="B60" s="37"/>
      <c r="C60" s="47" t="s">
        <v>17</v>
      </c>
      <c r="D60" s="40"/>
      <c r="E60" s="40"/>
      <c r="F60" s="40"/>
      <c r="G60" s="38"/>
      <c r="H60" s="32">
        <f>IF(G66&gt;0,1,0)</f>
        <v>0</v>
      </c>
    </row>
    <row r="61" spans="1:8" ht="15.6" x14ac:dyDescent="0.3">
      <c r="A61" s="42" t="s">
        <v>42</v>
      </c>
      <c r="B61" s="39" t="s">
        <v>4</v>
      </c>
      <c r="C61" s="34" t="s">
        <v>163</v>
      </c>
      <c r="D61" s="33">
        <f>IF(C61="do 50 kont",'Cennik enova365'!B64,IF(C61="do 100 kont",'Cennik enova365'!B65,IF(C61="do 200 kont",'Cennik enova365'!B66,IF(C61="do 500 kont",'Cennik enova365'!B67,IF(C61="do 1000 kont",'Cennik enova365'!B68,IF(C61="powyżej 1000 kont",'Cennik enova365'!B69))))))</f>
        <v>2990</v>
      </c>
      <c r="E61" s="88"/>
      <c r="F61" s="88"/>
      <c r="G61" s="35">
        <f>IF(B61="TAK",D61,0)</f>
        <v>0</v>
      </c>
      <c r="H61" s="32">
        <f t="shared" ref="H61" si="5">IF(G61&gt;0,1,0)</f>
        <v>0</v>
      </c>
    </row>
    <row r="62" spans="1:8" ht="15.6" x14ac:dyDescent="0.3">
      <c r="A62" s="42" t="s">
        <v>15</v>
      </c>
      <c r="B62" s="39" t="s">
        <v>4</v>
      </c>
      <c r="C62" s="78">
        <v>0</v>
      </c>
      <c r="D62" s="33">
        <f>'Cennik enova365'!B71</f>
        <v>199</v>
      </c>
      <c r="E62" s="88"/>
      <c r="F62" s="88"/>
      <c r="G62" s="35">
        <f>IF(B62="TAK",(D62*C62),0)</f>
        <v>0</v>
      </c>
      <c r="H62" s="32">
        <f>IF(G62&gt;0,1,0)</f>
        <v>0</v>
      </c>
    </row>
    <row r="63" spans="1:8" ht="15.6" x14ac:dyDescent="0.3">
      <c r="A63" s="42" t="s">
        <v>51</v>
      </c>
      <c r="B63" s="39" t="s">
        <v>4</v>
      </c>
      <c r="C63" s="34" t="s">
        <v>163</v>
      </c>
      <c r="D63" s="33">
        <f>IF(C63="do 50 kont",'Cennik enova365'!B79,IF(C63="do 100 kont",'Cennik enova365'!B80,IF(C63="do 200 kont",'Cennik enova365'!B81,IF(C63="do 500 kont",'Cennik enova365'!B82,IF(C63="do 1000 kont",'Cennik enova365'!B83,IF(C63="powyżej 1000 kont",'Cennik enova365'!B84))))))</f>
        <v>2490</v>
      </c>
      <c r="E63" s="88"/>
      <c r="F63" s="88"/>
      <c r="G63" s="35">
        <f>IF(B63="TAK",D63,0)</f>
        <v>0</v>
      </c>
      <c r="H63" s="32">
        <f>IF(G63&gt;0,1,0)</f>
        <v>0</v>
      </c>
    </row>
    <row r="64" spans="1:8" ht="15.6" x14ac:dyDescent="0.3">
      <c r="A64" s="42" t="s">
        <v>52</v>
      </c>
      <c r="B64" s="39" t="s">
        <v>4</v>
      </c>
      <c r="C64" s="34" t="s">
        <v>163</v>
      </c>
      <c r="D64" s="33">
        <f>IF(C64="do 50 kont",'Cennik enova365'!B88,IF(C64="do 100 kont",'Cennik enova365'!B89,IF(C64="do 200 kont",'Cennik enova365'!B90,IF(C64="do 500 kont",'Cennik enova365'!B91,IF(C64="do 1000 kont",'Cennik enova365'!B92,IF(C64="powyżej 1000 kont",'Cennik enova365'!B93))))))</f>
        <v>1490</v>
      </c>
      <c r="E64" s="88"/>
      <c r="F64" s="88"/>
      <c r="G64" s="35">
        <f>IF(B64="TAK",D64,0)</f>
        <v>0</v>
      </c>
      <c r="H64" s="32">
        <f>IF(G64&gt;0,1,0)</f>
        <v>0</v>
      </c>
    </row>
    <row r="65" spans="1:12" ht="15.6" x14ac:dyDescent="0.3">
      <c r="A65" s="42" t="s">
        <v>108</v>
      </c>
      <c r="B65" s="39" t="s">
        <v>4</v>
      </c>
      <c r="C65" s="34"/>
      <c r="D65" s="33">
        <f>'Cennik enova365'!B72</f>
        <v>4950</v>
      </c>
      <c r="E65" s="88"/>
      <c r="F65" s="88"/>
      <c r="G65" s="35">
        <f>IF(B65="TAK",D65,0)</f>
        <v>0</v>
      </c>
      <c r="H65" s="32">
        <f t="shared" ref="H65" si="6">IF(G65&gt;0,1,0)</f>
        <v>0</v>
      </c>
    </row>
    <row r="66" spans="1:12" ht="15.6" x14ac:dyDescent="0.3">
      <c r="A66" s="94" t="s">
        <v>20</v>
      </c>
      <c r="B66" s="43"/>
      <c r="C66" s="44"/>
      <c r="D66" s="44"/>
      <c r="E66" s="43"/>
      <c r="F66" s="45"/>
      <c r="G66" s="46">
        <f>SUM(G61:G65)</f>
        <v>0</v>
      </c>
      <c r="H66" s="32">
        <f>IF(G66&gt;0,1,0)</f>
        <v>0</v>
      </c>
      <c r="I66" s="54"/>
      <c r="J66" s="54"/>
      <c r="K66" s="54"/>
      <c r="L66" s="54"/>
    </row>
    <row r="67" spans="1:12" ht="15.6" x14ac:dyDescent="0.3">
      <c r="A67" s="48" t="s">
        <v>49</v>
      </c>
      <c r="B67" s="49"/>
      <c r="C67" s="49"/>
      <c r="D67" s="49"/>
      <c r="E67" s="49"/>
      <c r="F67" s="50"/>
      <c r="G67" s="51">
        <f>G24+G56+G59+G66+G26+G29</f>
        <v>0</v>
      </c>
      <c r="H67" s="32">
        <f t="shared" ref="H67:H78" si="7">IF(G67&gt;0,1,0)</f>
        <v>0</v>
      </c>
    </row>
    <row r="68" spans="1:12" ht="15.6" x14ac:dyDescent="0.3">
      <c r="A68" s="52"/>
      <c r="B68" s="34" t="s">
        <v>12</v>
      </c>
      <c r="C68" s="82">
        <v>0</v>
      </c>
      <c r="D68" s="83"/>
      <c r="E68" s="34" t="s">
        <v>4</v>
      </c>
      <c r="F68" s="84"/>
      <c r="G68" s="85">
        <f>IF(E68="TAK",G67*C68,0)</f>
        <v>0</v>
      </c>
      <c r="H68" s="32">
        <f t="shared" si="7"/>
        <v>0</v>
      </c>
      <c r="I68" s="54"/>
      <c r="J68" s="54"/>
      <c r="K68" s="54"/>
      <c r="L68" s="54"/>
    </row>
    <row r="69" spans="1:12" ht="15.6" x14ac:dyDescent="0.3">
      <c r="A69" s="53"/>
      <c r="B69" s="163" t="s">
        <v>13</v>
      </c>
      <c r="C69" s="164"/>
      <c r="D69" s="164"/>
      <c r="E69" s="163"/>
      <c r="F69" s="163"/>
      <c r="G69" s="165">
        <f>G68</f>
        <v>0</v>
      </c>
      <c r="H69" s="32">
        <f t="shared" si="7"/>
        <v>0</v>
      </c>
      <c r="I69" s="54"/>
      <c r="J69" s="54"/>
      <c r="K69" s="54"/>
      <c r="L69" s="54"/>
    </row>
    <row r="70" spans="1:12" ht="15.6" x14ac:dyDescent="0.3">
      <c r="A70" s="186" t="s">
        <v>156</v>
      </c>
      <c r="B70" s="187"/>
      <c r="C70" s="188"/>
      <c r="D70" s="159"/>
      <c r="E70" s="160" t="s">
        <v>17</v>
      </c>
      <c r="F70" s="161"/>
      <c r="G70" s="162"/>
      <c r="H70" s="32">
        <f t="shared" si="7"/>
        <v>0</v>
      </c>
      <c r="I70" s="54"/>
      <c r="J70" s="54"/>
      <c r="K70" s="54"/>
      <c r="L70" s="54"/>
    </row>
    <row r="71" spans="1:12" ht="31.2" x14ac:dyDescent="0.3">
      <c r="A71" s="42" t="s">
        <v>139</v>
      </c>
      <c r="B71" s="156" t="s">
        <v>4</v>
      </c>
      <c r="C71" s="157">
        <f>IF(B71="NA WŁASNOŚĆ 
1 stacja weryfikacji",VLOOKUP(E71,'Cennik enova365'!A107:E111,2,FALSE),IF(B71="ROCZNA 
1 stacja weryfikacji",VLOOKUP(E71,'Cennik enova365'!A107:E111,4,FALSE),IF(B71="NA WŁASNOŚĆ 
3 stacje weryfikacji",VLOOKUP(E71,'Cennik enova365'!A107:E111,3,FALSE),IF(B71="ROCZNA 
3 stacje weryfikacji",VLOOKUP(E71,'Cennik enova365'!A107:E111,5,FALSE),0))))</f>
        <v>0</v>
      </c>
      <c r="D71" s="33"/>
      <c r="E71" s="78" t="s">
        <v>142</v>
      </c>
      <c r="F71" s="41"/>
      <c r="G71" s="158">
        <f>C71</f>
        <v>0</v>
      </c>
      <c r="H71" s="32">
        <f t="shared" si="7"/>
        <v>0</v>
      </c>
      <c r="I71" s="54"/>
      <c r="J71" s="54"/>
      <c r="K71" s="54"/>
      <c r="L71" s="54"/>
    </row>
    <row r="72" spans="1:12" ht="31.2" x14ac:dyDescent="0.3">
      <c r="A72" s="42" t="s">
        <v>150</v>
      </c>
      <c r="B72" s="156" t="str">
        <f>B71</f>
        <v>NIE</v>
      </c>
      <c r="C72" s="157">
        <f>IF(B72="NA WŁASNOŚĆ 
1 stacja weryfikacji",VLOOKUP(E72,'Cennik enova365'!A121:E125,2,FALSE),IF(B72="ROCZNA 
1 stacja weryfikacji",VLOOKUP(E72,'Cennik enova365'!A121:E125,4,FALSE),IF(B72="NA WŁASNOŚĆ 
3 stacje weryfikacji",VLOOKUP(E72,'Cennik enova365'!A121:E125,3,FALSE),IF(B72="ROCZNA 
3 stacje weryfikacji",VLOOKUP(E72,'Cennik enova365'!A121:E125,5,FALSE),0))))</f>
        <v>0</v>
      </c>
      <c r="D72" s="33"/>
      <c r="E72" s="78" t="str">
        <f>E71</f>
        <v>5 000 stron rocznie</v>
      </c>
      <c r="F72" s="41"/>
      <c r="G72" s="158">
        <f>C72</f>
        <v>0</v>
      </c>
      <c r="H72" s="32">
        <f t="shared" si="7"/>
        <v>0</v>
      </c>
      <c r="I72" s="54"/>
      <c r="J72" s="54"/>
      <c r="K72" s="54"/>
      <c r="L72" s="54"/>
    </row>
    <row r="73" spans="1:12" ht="15.6" x14ac:dyDescent="0.3">
      <c r="A73" s="94" t="s">
        <v>157</v>
      </c>
      <c r="B73" s="43"/>
      <c r="C73" s="44"/>
      <c r="D73" s="44"/>
      <c r="E73" s="43"/>
      <c r="F73" s="45"/>
      <c r="G73" s="46">
        <f>SUM(G71:G72)</f>
        <v>0</v>
      </c>
      <c r="H73" s="32">
        <f t="shared" si="7"/>
        <v>0</v>
      </c>
      <c r="I73" s="54"/>
      <c r="J73" s="54"/>
      <c r="K73" s="54"/>
      <c r="L73" s="54"/>
    </row>
    <row r="74" spans="1:12" ht="15.6" x14ac:dyDescent="0.3">
      <c r="A74" s="64" t="s">
        <v>135</v>
      </c>
      <c r="B74" s="65"/>
      <c r="C74" s="65"/>
      <c r="D74" s="65"/>
      <c r="E74" s="65"/>
      <c r="F74" s="66"/>
      <c r="G74" s="67">
        <f>(G67-G69)+G73</f>
        <v>0</v>
      </c>
      <c r="H74" s="32">
        <f t="shared" si="7"/>
        <v>0</v>
      </c>
      <c r="I74" s="89"/>
      <c r="J74" s="54"/>
      <c r="K74" s="54"/>
      <c r="L74" s="54"/>
    </row>
    <row r="75" spans="1:12" s="54" customFormat="1" ht="15.6" x14ac:dyDescent="0.3">
      <c r="A75" s="180" t="s">
        <v>161</v>
      </c>
      <c r="B75" s="181"/>
      <c r="C75" s="181"/>
      <c r="D75" s="181"/>
      <c r="E75" s="181"/>
      <c r="F75" s="182"/>
      <c r="G75" s="166">
        <f>G67*0.15+IF(B86="NA WŁASNOŚĆ 
1 stacja weryfikacji",VLOOKUP(E86,'Cennik enova365'!A128:E132,2,FALSE),IF(B86="ROCZNA 
1 stacja weryfikacji",VLOOKUP(E86,'Cennik enova365'!A128:E132,4,FALSE),IF(B86="NA WŁASNOŚĆ 
3 stacje weryfikacji",VLOOKUP(E86,'Cennik enova365'!A128:E132,3,FALSE),IF(B86="ROCZNA 
3 stacje weryfikacji",VLOOKUP(E86,'Cennik enova365'!A128:E132,5,FALSE),0))))</f>
        <v>0</v>
      </c>
      <c r="H75" s="32">
        <f t="shared" si="7"/>
        <v>0</v>
      </c>
      <c r="I75" s="89"/>
    </row>
    <row r="76" spans="1:12" s="54" customFormat="1" ht="35.4" customHeight="1" x14ac:dyDescent="0.3">
      <c r="A76" s="177" t="s">
        <v>158</v>
      </c>
      <c r="B76" s="178"/>
      <c r="C76" s="178"/>
      <c r="D76" s="178"/>
      <c r="E76" s="178"/>
      <c r="F76" s="179"/>
      <c r="G76" s="167">
        <f>IF(B72="NA WŁASNOŚĆ 
1 stacja weryfikacji",VLOOKUP(E72,'Cennik enova365'!A114:E118,2,FALSE),IF(B72="ROCZNA 
1 stacja weryfikacji",VLOOKUP(E72,'Cennik enova365'!A114:E118,4,FALSE),IF(B72="NA WŁASNOŚĆ 
3 stacje weryfikacji",VLOOKUP(E72,'Cennik enova365'!A114:E118,3,FALSE),IF(B72="ROCZNA 
3 stacje weryfikacji",VLOOKUP(E72,'Cennik enova365'!A114:E118,5,FALSE),0))))</f>
        <v>0</v>
      </c>
      <c r="H76" s="32">
        <f t="shared" si="7"/>
        <v>0</v>
      </c>
      <c r="J76" s="89"/>
      <c r="K76" s="90"/>
    </row>
    <row r="77" spans="1:12" s="54" customFormat="1" ht="35.4" customHeight="1" x14ac:dyDescent="0.3">
      <c r="A77" s="177" t="s">
        <v>159</v>
      </c>
      <c r="B77" s="178"/>
      <c r="C77" s="178"/>
      <c r="D77" s="178"/>
      <c r="E77" s="178"/>
      <c r="F77" s="179"/>
      <c r="G77" s="168">
        <f>IFERROR(IF(OR(B72='Cennik enova365'!N15,B72='Cennik enova365'!N16),"-",(G72*70%)),0)</f>
        <v>0</v>
      </c>
      <c r="H77" s="32">
        <f t="shared" si="7"/>
        <v>0</v>
      </c>
      <c r="J77" s="89"/>
      <c r="K77" s="90"/>
    </row>
    <row r="78" spans="1:12" s="54" customFormat="1" ht="35.4" customHeight="1" x14ac:dyDescent="0.3">
      <c r="A78" s="177" t="s">
        <v>160</v>
      </c>
      <c r="B78" s="178"/>
      <c r="C78" s="178"/>
      <c r="D78" s="178"/>
      <c r="E78" s="178"/>
      <c r="F78" s="179"/>
      <c r="G78" s="168">
        <f>IFERROR(IF(OR(B73='Cennik enova365'!N16,B73='Cennik enova365'!N17),"-",(G73*20%)),0)</f>
        <v>0</v>
      </c>
      <c r="H78" s="32">
        <f t="shared" si="7"/>
        <v>0</v>
      </c>
      <c r="J78" s="89"/>
      <c r="K78" s="90"/>
    </row>
    <row r="79" spans="1:12" ht="14.4" customHeight="1" x14ac:dyDescent="0.3">
      <c r="A79" s="55" t="s">
        <v>56</v>
      </c>
      <c r="B79" s="56"/>
      <c r="H79" s="32">
        <v>1</v>
      </c>
    </row>
    <row r="80" spans="1:12" x14ac:dyDescent="0.3">
      <c r="A80" s="55" t="s">
        <v>57</v>
      </c>
      <c r="B80" s="56"/>
      <c r="H80" s="32">
        <v>1</v>
      </c>
    </row>
    <row r="81" spans="1:12" x14ac:dyDescent="0.3">
      <c r="A81" s="57" t="s">
        <v>58</v>
      </c>
      <c r="B81" s="58"/>
      <c r="H81" s="32">
        <v>1</v>
      </c>
    </row>
    <row r="82" spans="1:12" x14ac:dyDescent="0.3">
      <c r="I82" s="54"/>
      <c r="J82" s="54"/>
      <c r="K82" s="54"/>
      <c r="L82" s="54"/>
    </row>
    <row r="83" spans="1:12" x14ac:dyDescent="0.3">
      <c r="I83" s="54"/>
      <c r="J83" s="54"/>
      <c r="K83" s="54"/>
      <c r="L83" s="54"/>
    </row>
    <row r="84" spans="1:12" x14ac:dyDescent="0.3">
      <c r="I84" s="54"/>
      <c r="J84" s="54"/>
      <c r="K84" s="54"/>
      <c r="L84" s="54"/>
    </row>
    <row r="85" spans="1:12" x14ac:dyDescent="0.3">
      <c r="I85" s="54"/>
      <c r="J85" s="54"/>
      <c r="K85" s="54"/>
      <c r="L85" s="54"/>
    </row>
    <row r="86" spans="1:12" x14ac:dyDescent="0.3">
      <c r="G86" s="91"/>
      <c r="I86" s="54"/>
      <c r="J86" s="54"/>
      <c r="K86" s="54"/>
      <c r="L86" s="54"/>
    </row>
    <row r="87" spans="1:12" x14ac:dyDescent="0.3">
      <c r="I87" s="54"/>
      <c r="J87" s="54"/>
      <c r="K87" s="54"/>
      <c r="L87" s="54"/>
    </row>
    <row r="88" spans="1:12" x14ac:dyDescent="0.3">
      <c r="G88" s="92"/>
      <c r="I88" s="54"/>
      <c r="J88" s="54"/>
      <c r="K88" s="54"/>
      <c r="L88" s="54"/>
    </row>
    <row r="90" spans="1:12" x14ac:dyDescent="0.3">
      <c r="G90" s="93"/>
    </row>
  </sheetData>
  <autoFilter ref="H1:H81"/>
  <mergeCells count="34">
    <mergeCell ref="A38:C38"/>
    <mergeCell ref="A30:C30"/>
    <mergeCell ref="I31:L31"/>
    <mergeCell ref="A56:C56"/>
    <mergeCell ref="A57:C57"/>
    <mergeCell ref="A49:C49"/>
    <mergeCell ref="A31:C31"/>
    <mergeCell ref="A32:C32"/>
    <mergeCell ref="A33:C33"/>
    <mergeCell ref="A34:C34"/>
    <mergeCell ref="A35:C35"/>
    <mergeCell ref="A36:C36"/>
    <mergeCell ref="A37:C37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50:C50"/>
    <mergeCell ref="A52:C52"/>
    <mergeCell ref="A53:C53"/>
    <mergeCell ref="A51:C51"/>
    <mergeCell ref="A78:F78"/>
    <mergeCell ref="A75:F75"/>
    <mergeCell ref="A54:C54"/>
    <mergeCell ref="A55:C55"/>
    <mergeCell ref="A70:C70"/>
    <mergeCell ref="A76:F76"/>
    <mergeCell ref="A77:F77"/>
  </mergeCells>
  <dataValidations xWindow="602" yWindow="720" count="11">
    <dataValidation allowBlank="1" showErrorMessage="1" sqref="D68"/>
    <dataValidation allowBlank="1" showInputMessage="1" showErrorMessage="1" prompt="wpisz wartość rabatu" sqref="C68"/>
    <dataValidation allowBlank="1" showErrorMessage="1" prompt="wpisz liczbę tabel" sqref="F58"/>
    <dataValidation allowBlank="1" showErrorMessage="1" prompt="zaznacz odpowiednią opcję" sqref="F31:F55"/>
    <dataValidation type="whole" allowBlank="1" showInputMessage="1" showErrorMessage="1" error="jeśli chcesz dodać moduł do kalkulacji_x000a_wpisz 1" sqref="F3:F23 E8:E9 E12:E16 E19 E21:E23">
      <formula1>0</formula1>
      <formula2>1</formula2>
    </dataValidation>
    <dataValidation allowBlank="1" showInputMessage="1" showErrorMessage="1" prompt="wymaga: Księgi Podatkowej lub Księgi Handlowej" sqref="E7"/>
    <dataValidation allowBlank="1" showInputMessage="1" showErrorMessage="1" prompt="wymaga min. 1 st. Handlu złotego" sqref="E11"/>
    <dataValidation allowBlank="1" showInputMessage="1" showErrorMessage="1" prompt="wymaga by na licencji było min. po 1 st. Handlu i CRM złotego" sqref="E10"/>
    <dataValidation allowBlank="1" showInputMessage="1" showErrorMessage="1" prompt="na licencji musi być inny, dowolny moduł, którego działanie chcemy oprocesować" sqref="E17"/>
    <dataValidation allowBlank="1" showInputMessage="1" showErrorMessage="1" prompt="dowolny moduł, który chcemy &quot;poglądać&quot;" sqref="E20"/>
    <dataValidation allowBlank="1" showInputMessage="1" showErrorMessage="1" prompt="wpisz liczbę kierowników" sqref="C62"/>
  </dataValidations>
  <pageMargins left="0.25" right="0.25" top="0.75" bottom="0.75" header="0.3" footer="0.3"/>
  <pageSetup paperSize="9" scale="44" orientation="portrait" horizontalDpi="300" r:id="rId1"/>
  <ignoredErrors>
    <ignoredError sqref="E61:G61 C65:G65 C62:F62 E64:G64 E63:G63" twoDigitTextYear="1"/>
    <ignoredError sqref="G5 G9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602" yWindow="720" count="23">
        <x14:dataValidation type="list" allowBlank="1" showInputMessage="1" showErrorMessage="1">
          <x14:formula1>
            <xm:f>'Cennik enova365'!$M$15:$M$16</xm:f>
          </x14:formula1>
          <xm:sqref>F28 E68</xm:sqref>
        </x14:dataValidation>
        <x14:dataValidation type="list" allowBlank="1" showInputMessage="1" showErrorMessage="1" prompt="zaznacz odpowiednią opcję">
          <x14:formula1>
            <xm:f>'Cennik enova365'!$M$15:$M$16</xm:f>
          </x14:formula1>
          <xm:sqref>B58</xm:sqref>
        </x14:dataValidation>
        <x14:dataValidation type="list" allowBlank="1" showInputMessage="1" showErrorMessage="1" prompt="dowolny moduł min. w wersji złotej_x000a_(przynajmniej jedno, dowolne stanowsiko w ramach licencji Klienta musi być złote)">
          <x14:formula1>
            <xm:f>'Cennik enova365'!$M$15:$M$16</xm:f>
          </x14:formula1>
          <xm:sqref>E28 E52 E54:E55</xm:sqref>
        </x14:dataValidation>
        <x14:dataValidation type="list" allowBlank="1" showInputMessage="1" showErrorMessage="1" prompt="wymaga: Ewidencji Środków pieniężnych, dowolny moduł samodzielny min. w wersji srebrnej (patrz powyżej zaznaczone na zielono)">
          <x14:formula1>
            <xm:f>'Cennik enova365'!$M$15:$M$16</xm:f>
          </x14:formula1>
          <xm:sqref>E45 E41:E42</xm:sqref>
        </x14:dataValidation>
        <x14:dataValidation type="list" allowBlank="1" showInputMessage="1" showErrorMessage="1" prompt="dowolny moduł min. w wersji złotej_x000a_(przynajmniej jedno, dowolne stanowsiko w ramach licencji Klienta musi być multi)">
          <x14:formula1>
            <xm:f>'Cennik enova365'!$M$15:$M$16</xm:f>
          </x14:formula1>
          <xm:sqref>E50</xm:sqref>
        </x14:dataValidation>
        <x14:dataValidation type="list" allowBlank="1" showInputMessage="1" showErrorMessage="1" prompt="wymaga:_x000a_CRM min. złoty_x000a_lub Projekty min. złote">
          <x14:formula1>
            <xm:f>'Cennik enova365'!$M$15:$M$16</xm:f>
          </x14:formula1>
          <xm:sqref>E53</xm:sqref>
        </x14:dataValidation>
        <x14:dataValidation type="list" allowBlank="1" showInputMessage="1" showErrorMessage="1" prompt="wymaga:_x000a_Faktury min. srebrne_x000a_lub Handel min. srebrny">
          <x14:formula1>
            <xm:f>'Cennik enova365'!$M$15:$M$16</xm:f>
          </x14:formula1>
          <xm:sqref>E48:E49</xm:sqref>
        </x14:dataValidation>
        <x14:dataValidation type="list" allowBlank="1" showInputMessage="1" showErrorMessage="1" prompt="dowolny moduł min. w wersji srebrnej">
          <x14:formula1>
            <xm:f>'Cennik enova365'!$M$15:$M$16</xm:f>
          </x14:formula1>
          <xm:sqref>E47</xm:sqref>
        </x14:dataValidation>
        <x14:dataValidation type="list" allowBlank="1" showInputMessage="1" showErrorMessage="1" prompt="wymaga:_x000a_Faktury min. srebrne_x000a_lub Handel min. srebrny_x000a_">
          <x14:formula1>
            <xm:f>'Cennik enova365'!$M$15:$M$16</xm:f>
          </x14:formula1>
          <xm:sqref>E46</xm:sqref>
        </x14:dataValidation>
        <x14:dataValidation type="list" allowBlank="1" showInputMessage="1" showErrorMessage="1" prompt="wymaga:_x000a_Księga Handlowa min. złota_x000a_lub Księga Podatkowa">
          <x14:formula1>
            <xm:f>'Cennik enova365'!$M$15:$M$16</xm:f>
          </x14:formula1>
          <xm:sqref>E43:E44</xm:sqref>
        </x14:dataValidation>
        <x14:dataValidation type="list" allowBlank="1" showInputMessage="1" showErrorMessage="1" prompt="wymaga:_x000a_Księga Handlowa min. złota">
          <x14:formula1>
            <xm:f>'Cennik enova365'!$M$15:$M$16</xm:f>
          </x14:formula1>
          <xm:sqref>E39:E40</xm:sqref>
        </x14:dataValidation>
        <x14:dataValidation type="list" allowBlank="1" showInputMessage="1" showErrorMessage="1" prompt="wymaga:_x000a_Kadry Płace min. złote i Handel min. złoty">
          <x14:formula1>
            <xm:f>'Cennik enova365'!$M$15:$M$16</xm:f>
          </x14:formula1>
          <xm:sqref>E37</xm:sqref>
        </x14:dataValidation>
        <x14:dataValidation type="list" allowBlank="1" showInputMessage="1" showErrorMessage="1" prompt="wymaga:_x000a_Kadry Płace min. złote">
          <x14:formula1>
            <xm:f>'Cennik enova365'!$M$15:$M$16</xm:f>
          </x14:formula1>
          <xm:sqref>E31:E36 E38</xm:sqref>
        </x14:dataValidation>
        <x14:dataValidation type="list" allowBlank="1" showInputMessage="1" showErrorMessage="1" prompt="wymaga Workflow min. w platynie_x000a_oraz innego Pulpitu">
          <x14:formula1>
            <xm:f>'Cennik enova365'!$M$15:$M$16</xm:f>
          </x14:formula1>
          <xm:sqref>B64</xm:sqref>
        </x14:dataValidation>
        <x14:dataValidation type="list" allowBlank="1" showInputMessage="1" showErrorMessage="1" prompt="wymaga Handlu min. w złocie_x000a_lun CRM min. w złocie">
          <x14:formula1>
            <xm:f>'Cennik enova365'!$M$15:$M$16</xm:f>
          </x14:formula1>
          <xm:sqref>B63</xm:sqref>
        </x14:dataValidation>
        <x14:dataValidation type="list" allowBlank="1" showInputMessage="1" showErrorMessage="1" prompt="wymaga Pulpitu _x000a_Pracownika">
          <x14:formula1>
            <xm:f>'Cennik enova365'!$M$15:$M$16</xm:f>
          </x14:formula1>
          <xm:sqref>B65 B62</xm:sqref>
        </x14:dataValidation>
        <x14:dataValidation type="list" allowBlank="1" showInputMessage="1" showErrorMessage="1" prompt="wymaga Kadr Płac min. w złocie">
          <x14:formula1>
            <xm:f>'Cennik enova365'!$M$15:$M$16</xm:f>
          </x14:formula1>
          <xm:sqref>B61</xm:sqref>
        </x14:dataValidation>
        <x14:dataValidation type="list" allowBlank="1" showInputMessage="1" showErrorMessage="1" prompt="Wymaga modułów: _x000a_Workflow platyna_x000a_DMS platyna _x000a_Harmonogram Zadań_x000a_Integracja OCR">
          <x14:formula1>
            <xm:f>'Cennik enova365'!$N$14:$N$18</xm:f>
          </x14:formula1>
          <xm:sqref>B71</xm:sqref>
        </x14:dataValidation>
        <x14:dataValidation type="list" allowBlank="1" showInputMessage="1" showErrorMessage="1">
          <x14:formula1>
            <xm:f>'Cennik enova365'!$A$107:$A$111</xm:f>
          </x14:formula1>
          <xm:sqref>E71</xm:sqref>
        </x14:dataValidation>
        <x14:dataValidation type="list" allowBlank="1" showInputMessage="1" showErrorMessage="1" prompt="wybierz przedział">
          <x14:formula1>
            <xm:f>'Cennik enova365'!$A$64:$A$69</xm:f>
          </x14:formula1>
          <xm:sqref>C61</xm:sqref>
        </x14:dataValidation>
        <x14:dataValidation type="list" allowBlank="1" showInputMessage="1" showErrorMessage="1" prompt="wybierz przedział">
          <x14:formula1>
            <xm:f>'Cennik enova365'!$A$88:$A$93</xm:f>
          </x14:formula1>
          <xm:sqref>C64</xm:sqref>
        </x14:dataValidation>
        <x14:dataValidation type="list" allowBlank="1" showInputMessage="1" showErrorMessage="1" prompt="wybierz przedział">
          <x14:formula1>
            <xm:f>'Cennik enova365'!$A$79:$A$84</xm:f>
          </x14:formula1>
          <xm:sqref>C63</xm:sqref>
        </x14:dataValidation>
        <x14:dataValidation type="list" allowBlank="1" showInputMessage="1" showErrorMessage="1" prompt="wymaga:_x000a_Handel min. złoty">
          <x14:formula1>
            <xm:f>'Cennik enova365'!$M$15:$M$16</xm:f>
          </x14:formula1>
          <xm:sqref>E51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98"/>
  <sheetViews>
    <sheetView tabSelected="1" zoomScale="80" zoomScaleNormal="80" workbookViewId="0">
      <selection activeCell="J24" sqref="J24"/>
    </sheetView>
  </sheetViews>
  <sheetFormatPr defaultColWidth="9.109375" defaultRowHeight="14.4" x14ac:dyDescent="0.3"/>
  <cols>
    <col min="1" max="1" width="66.33203125" style="32" customWidth="1"/>
    <col min="2" max="2" width="27.44140625" style="32" customWidth="1"/>
    <col min="3" max="3" width="19.6640625" style="32" customWidth="1"/>
    <col min="4" max="4" width="18.109375" style="32" bestFit="1" customWidth="1"/>
    <col min="5" max="6" width="13.88671875" style="32" customWidth="1"/>
    <col min="7" max="7" width="18.109375" style="32" customWidth="1"/>
    <col min="8" max="8" width="12.6640625" style="32" customWidth="1"/>
    <col min="9" max="9" width="10.6640625" style="32" bestFit="1" customWidth="1"/>
    <col min="10" max="10" width="56.6640625" style="32" customWidth="1"/>
    <col min="11" max="11" width="10.6640625" style="32" bestFit="1" customWidth="1"/>
    <col min="12" max="16384" width="9.109375" style="32"/>
  </cols>
  <sheetData>
    <row r="1" spans="1:10" ht="78" x14ac:dyDescent="0.3">
      <c r="A1" s="25" t="s">
        <v>9</v>
      </c>
      <c r="B1" s="72" t="s">
        <v>10</v>
      </c>
      <c r="C1" s="26" t="s">
        <v>100</v>
      </c>
      <c r="D1" s="26" t="s">
        <v>101</v>
      </c>
      <c r="E1" s="27" t="s">
        <v>98</v>
      </c>
      <c r="F1" s="27" t="s">
        <v>99</v>
      </c>
      <c r="G1" s="28" t="s">
        <v>11</v>
      </c>
      <c r="H1" s="77" t="s">
        <v>14</v>
      </c>
      <c r="J1" s="169" t="s">
        <v>137</v>
      </c>
    </row>
    <row r="2" spans="1:10" ht="15.6" x14ac:dyDescent="0.3">
      <c r="A2" s="73" t="s">
        <v>60</v>
      </c>
      <c r="B2" s="74"/>
      <c r="C2" s="29"/>
      <c r="D2" s="29"/>
      <c r="E2" s="30"/>
      <c r="F2" s="103">
        <v>0.15</v>
      </c>
      <c r="G2" s="31"/>
      <c r="H2" s="32">
        <f>IF(G24&gt;0,1,0)</f>
        <v>0</v>
      </c>
    </row>
    <row r="3" spans="1:10" ht="15.6" x14ac:dyDescent="0.3">
      <c r="A3" s="150" t="s">
        <v>63</v>
      </c>
      <c r="B3" s="86" t="s">
        <v>105</v>
      </c>
      <c r="C3" s="33">
        <f>'Cennik enova365'!B7*1.2</f>
        <v>26460</v>
      </c>
      <c r="D3" s="33">
        <f>C3*1.15</f>
        <v>30428.999999999996</v>
      </c>
      <c r="E3" s="34">
        <v>0</v>
      </c>
      <c r="F3" s="39">
        <v>0</v>
      </c>
      <c r="G3" s="35">
        <f t="shared" ref="G3:G23" si="0">IF(OR(OR(E3&gt;1,F3&gt;1),F3&gt;E3),"błąd",C3*E3+F3*C3*$F$2)</f>
        <v>0</v>
      </c>
      <c r="H3" s="32">
        <f t="shared" ref="H3:H26" si="1">IF(G3&gt;0,1,0)</f>
        <v>0</v>
      </c>
    </row>
    <row r="4" spans="1:10" ht="15.6" x14ac:dyDescent="0.3">
      <c r="A4" s="150" t="s">
        <v>64</v>
      </c>
      <c r="B4" s="86" t="s">
        <v>105</v>
      </c>
      <c r="C4" s="33">
        <f>'Cennik enova365'!B8*1.2</f>
        <v>6300</v>
      </c>
      <c r="D4" s="33">
        <f t="shared" ref="D4:D23" si="2">C4*1.15</f>
        <v>7244.9999999999991</v>
      </c>
      <c r="E4" s="34">
        <v>0</v>
      </c>
      <c r="F4" s="39">
        <v>0</v>
      </c>
      <c r="G4" s="35">
        <f t="shared" si="0"/>
        <v>0</v>
      </c>
      <c r="H4" s="32">
        <f t="shared" si="1"/>
        <v>0</v>
      </c>
      <c r="J4" s="170"/>
    </row>
    <row r="5" spans="1:10" ht="15.6" x14ac:dyDescent="0.3">
      <c r="A5" s="150" t="s">
        <v>65</v>
      </c>
      <c r="B5" s="86" t="s">
        <v>105</v>
      </c>
      <c r="C5" s="33">
        <f>'Cennik enova365'!B9*1.2</f>
        <v>26460</v>
      </c>
      <c r="D5" s="33">
        <f t="shared" si="2"/>
        <v>30428.999999999996</v>
      </c>
      <c r="E5" s="34">
        <v>0</v>
      </c>
      <c r="F5" s="39">
        <v>0</v>
      </c>
      <c r="G5" s="35">
        <f t="shared" si="0"/>
        <v>0</v>
      </c>
      <c r="H5" s="32">
        <f t="shared" si="1"/>
        <v>0</v>
      </c>
      <c r="J5" s="170"/>
    </row>
    <row r="6" spans="1:10" ht="15.6" x14ac:dyDescent="0.3">
      <c r="A6" s="150" t="s">
        <v>66</v>
      </c>
      <c r="B6" s="86" t="s">
        <v>105</v>
      </c>
      <c r="C6" s="33">
        <f>'Cennik enova365'!B10*1.2</f>
        <v>12000</v>
      </c>
      <c r="D6" s="33">
        <f t="shared" si="2"/>
        <v>13799.999999999998</v>
      </c>
      <c r="E6" s="34">
        <v>0</v>
      </c>
      <c r="F6" s="39">
        <v>0</v>
      </c>
      <c r="G6" s="35">
        <f t="shared" si="0"/>
        <v>0</v>
      </c>
      <c r="H6" s="32">
        <f t="shared" si="1"/>
        <v>0</v>
      </c>
      <c r="J6" s="170"/>
    </row>
    <row r="7" spans="1:10" ht="15.6" x14ac:dyDescent="0.3">
      <c r="A7" s="68" t="s">
        <v>104</v>
      </c>
      <c r="B7" s="86" t="s">
        <v>105</v>
      </c>
      <c r="C7" s="33">
        <f>'Cennik enova365'!B11*1.2</f>
        <v>18000</v>
      </c>
      <c r="D7" s="33">
        <f t="shared" si="2"/>
        <v>20700</v>
      </c>
      <c r="E7" s="34">
        <v>0</v>
      </c>
      <c r="F7" s="39">
        <v>0</v>
      </c>
      <c r="G7" s="35">
        <f t="shared" si="0"/>
        <v>0</v>
      </c>
      <c r="H7" s="32">
        <f t="shared" si="1"/>
        <v>0</v>
      </c>
      <c r="J7" s="170"/>
    </row>
    <row r="8" spans="1:10" ht="15.6" x14ac:dyDescent="0.3">
      <c r="A8" s="150" t="s">
        <v>67</v>
      </c>
      <c r="B8" s="86" t="s">
        <v>105</v>
      </c>
      <c r="C8" s="33">
        <f>'Cennik enova365'!B12*1.2</f>
        <v>6000</v>
      </c>
      <c r="D8" s="33">
        <f t="shared" si="2"/>
        <v>6899.9999999999991</v>
      </c>
      <c r="E8" s="39">
        <v>0</v>
      </c>
      <c r="F8" s="39">
        <v>0</v>
      </c>
      <c r="G8" s="35">
        <f t="shared" si="0"/>
        <v>0</v>
      </c>
      <c r="H8" s="32">
        <f t="shared" si="1"/>
        <v>0</v>
      </c>
      <c r="J8" s="170"/>
    </row>
    <row r="9" spans="1:10" ht="15.6" x14ac:dyDescent="0.3">
      <c r="A9" s="150" t="s">
        <v>68</v>
      </c>
      <c r="B9" s="86" t="s">
        <v>105</v>
      </c>
      <c r="C9" s="33">
        <f>'Cennik enova365'!B13*1.2</f>
        <v>25200</v>
      </c>
      <c r="D9" s="33">
        <f t="shared" si="2"/>
        <v>28979.999999999996</v>
      </c>
      <c r="E9" s="39">
        <v>0</v>
      </c>
      <c r="F9" s="39">
        <v>0</v>
      </c>
      <c r="G9" s="35">
        <f>IF(AND((E8+F8&gt;0),(E9+F9&gt;0)),"usuń Faktury",IF(OR(OR(E9&gt;1,F9&gt;1),F9&gt;E9),"błąd",C9*E9+F9*C9*$F$2))</f>
        <v>0</v>
      </c>
      <c r="H9" s="32">
        <f t="shared" si="1"/>
        <v>0</v>
      </c>
      <c r="J9" s="151" t="str">
        <f>IF(G9="usuń Faktury","Faktur i Handlu nie można łączyć w ramach jednej licencji"," ")</f>
        <v xml:space="preserve"> </v>
      </c>
    </row>
    <row r="10" spans="1:10" ht="15.6" x14ac:dyDescent="0.3">
      <c r="A10" s="68" t="s">
        <v>116</v>
      </c>
      <c r="B10" s="86" t="s">
        <v>105</v>
      </c>
      <c r="C10" s="33">
        <f>'Cennik enova365'!B14*1.2</f>
        <v>6000</v>
      </c>
      <c r="D10" s="33">
        <f t="shared" si="2"/>
        <v>6899.9999999999991</v>
      </c>
      <c r="E10" s="34">
        <v>0</v>
      </c>
      <c r="F10" s="39">
        <v>0</v>
      </c>
      <c r="G10" s="35">
        <f t="shared" si="0"/>
        <v>0</v>
      </c>
      <c r="H10" s="32">
        <f t="shared" si="1"/>
        <v>0</v>
      </c>
    </row>
    <row r="11" spans="1:10" ht="15.6" x14ac:dyDescent="0.3">
      <c r="A11" s="68" t="s">
        <v>69</v>
      </c>
      <c r="B11" s="86" t="s">
        <v>105</v>
      </c>
      <c r="C11" s="33">
        <f>'Cennik enova365'!B15*1.2</f>
        <v>24000</v>
      </c>
      <c r="D11" s="33">
        <f t="shared" si="2"/>
        <v>27599.999999999996</v>
      </c>
      <c r="E11" s="34">
        <v>0</v>
      </c>
      <c r="F11" s="39">
        <v>0</v>
      </c>
      <c r="G11" s="35">
        <f t="shared" si="0"/>
        <v>0</v>
      </c>
      <c r="H11" s="32">
        <f t="shared" si="1"/>
        <v>0</v>
      </c>
    </row>
    <row r="12" spans="1:10" ht="15.6" x14ac:dyDescent="0.3">
      <c r="A12" s="150" t="s">
        <v>70</v>
      </c>
      <c r="B12" s="86" t="s">
        <v>105</v>
      </c>
      <c r="C12" s="33">
        <f>'Cennik enova365'!B16*1.2</f>
        <v>18540</v>
      </c>
      <c r="D12" s="33">
        <f t="shared" si="2"/>
        <v>21321</v>
      </c>
      <c r="E12" s="39">
        <v>0</v>
      </c>
      <c r="F12" s="39">
        <v>0</v>
      </c>
      <c r="G12" s="35">
        <f t="shared" si="0"/>
        <v>0</v>
      </c>
      <c r="H12" s="32">
        <f t="shared" si="1"/>
        <v>0</v>
      </c>
      <c r="J12" s="152" t="str">
        <f>IF(E12+F12&gt;0,"zawiera pełną funcjonalność e-mail"," ")</f>
        <v xml:space="preserve"> </v>
      </c>
    </row>
    <row r="13" spans="1:10" ht="15.6" x14ac:dyDescent="0.3">
      <c r="A13" s="150" t="s">
        <v>71</v>
      </c>
      <c r="B13" s="86" t="s">
        <v>105</v>
      </c>
      <c r="C13" s="33">
        <f>'Cennik enova365'!B17*1.2</f>
        <v>6000</v>
      </c>
      <c r="D13" s="33">
        <f t="shared" si="2"/>
        <v>6899.9999999999991</v>
      </c>
      <c r="E13" s="39">
        <v>0</v>
      </c>
      <c r="F13" s="39">
        <v>0</v>
      </c>
      <c r="G13" s="35">
        <f t="shared" si="0"/>
        <v>0</v>
      </c>
      <c r="H13" s="32">
        <f>IF(G13&gt;0,1,0)</f>
        <v>0</v>
      </c>
    </row>
    <row r="14" spans="1:10" ht="15.6" x14ac:dyDescent="0.3">
      <c r="A14" s="150" t="s">
        <v>72</v>
      </c>
      <c r="B14" s="86" t="s">
        <v>105</v>
      </c>
      <c r="C14" s="33">
        <f>'Cennik enova365'!B18*1.2</f>
        <v>6000</v>
      </c>
      <c r="D14" s="33">
        <f t="shared" si="2"/>
        <v>6899.9999999999991</v>
      </c>
      <c r="E14" s="39">
        <v>0</v>
      </c>
      <c r="F14" s="39">
        <v>0</v>
      </c>
      <c r="G14" s="35">
        <f t="shared" si="0"/>
        <v>0</v>
      </c>
      <c r="H14" s="32">
        <f t="shared" si="1"/>
        <v>0</v>
      </c>
    </row>
    <row r="15" spans="1:10" ht="15.6" x14ac:dyDescent="0.3">
      <c r="A15" s="150" t="s">
        <v>73</v>
      </c>
      <c r="B15" s="86" t="s">
        <v>105</v>
      </c>
      <c r="C15" s="33">
        <f>'Cennik enova365'!B19*1.2</f>
        <v>6000</v>
      </c>
      <c r="D15" s="33">
        <f t="shared" si="2"/>
        <v>6899.9999999999991</v>
      </c>
      <c r="E15" s="39">
        <v>0</v>
      </c>
      <c r="F15" s="39">
        <v>0</v>
      </c>
      <c r="G15" s="35">
        <f t="shared" si="0"/>
        <v>0</v>
      </c>
      <c r="H15" s="32">
        <f t="shared" si="1"/>
        <v>0</v>
      </c>
    </row>
    <row r="16" spans="1:10" ht="15.6" x14ac:dyDescent="0.3">
      <c r="A16" s="150" t="s">
        <v>74</v>
      </c>
      <c r="B16" s="86" t="s">
        <v>105</v>
      </c>
      <c r="C16" s="33">
        <f>'Cennik enova365'!B20*1.2</f>
        <v>6000</v>
      </c>
      <c r="D16" s="33">
        <f t="shared" si="2"/>
        <v>6899.9999999999991</v>
      </c>
      <c r="E16" s="39">
        <v>0</v>
      </c>
      <c r="F16" s="39">
        <v>0</v>
      </c>
      <c r="G16" s="35">
        <f t="shared" si="0"/>
        <v>0</v>
      </c>
      <c r="H16" s="32">
        <f>IF(G16&gt;0,1,0)</f>
        <v>0</v>
      </c>
    </row>
    <row r="17" spans="1:12" ht="15.6" x14ac:dyDescent="0.3">
      <c r="A17" s="68" t="s">
        <v>75</v>
      </c>
      <c r="B17" s="86" t="s">
        <v>105</v>
      </c>
      <c r="C17" s="33">
        <f>'Cennik enova365'!B21*1.2</f>
        <v>18000</v>
      </c>
      <c r="D17" s="33">
        <f t="shared" si="2"/>
        <v>20700</v>
      </c>
      <c r="E17" s="34">
        <v>0</v>
      </c>
      <c r="F17" s="39">
        <v>0</v>
      </c>
      <c r="G17" s="35">
        <f t="shared" si="0"/>
        <v>0</v>
      </c>
      <c r="H17" s="32">
        <f t="shared" si="1"/>
        <v>0</v>
      </c>
    </row>
    <row r="18" spans="1:12" ht="15.6" x14ac:dyDescent="0.3">
      <c r="A18" s="68" t="s">
        <v>91</v>
      </c>
      <c r="B18" s="86" t="s">
        <v>105</v>
      </c>
      <c r="C18" s="33">
        <f>'Cennik enova365'!B22*1.2</f>
        <v>6000</v>
      </c>
      <c r="D18" s="33">
        <f t="shared" si="2"/>
        <v>6899.9999999999991</v>
      </c>
      <c r="E18" s="34">
        <v>0</v>
      </c>
      <c r="F18" s="39">
        <v>0</v>
      </c>
      <c r="G18" s="35">
        <f t="shared" si="0"/>
        <v>0</v>
      </c>
      <c r="H18" s="32">
        <f t="shared" si="1"/>
        <v>0</v>
      </c>
    </row>
    <row r="19" spans="1:12" ht="15.6" x14ac:dyDescent="0.3">
      <c r="A19" s="150" t="s">
        <v>76</v>
      </c>
      <c r="B19" s="86" t="s">
        <v>105</v>
      </c>
      <c r="C19" s="33">
        <f>'Cennik enova365'!B23*1.2</f>
        <v>24000</v>
      </c>
      <c r="D19" s="33">
        <f t="shared" si="2"/>
        <v>27599.999999999996</v>
      </c>
      <c r="E19" s="39">
        <v>0</v>
      </c>
      <c r="F19" s="39">
        <v>0</v>
      </c>
      <c r="G19" s="35">
        <f t="shared" si="0"/>
        <v>0</v>
      </c>
      <c r="H19" s="32">
        <f t="shared" si="1"/>
        <v>0</v>
      </c>
      <c r="J19" s="152" t="str">
        <f>IF(E19+F19&gt;0,"zawiera pełną funcjonalność CRM oraz e-mail"," ")</f>
        <v xml:space="preserve"> </v>
      </c>
    </row>
    <row r="20" spans="1:12" ht="15.6" x14ac:dyDescent="0.3">
      <c r="A20" s="68" t="s">
        <v>77</v>
      </c>
      <c r="B20" s="86" t="s">
        <v>105</v>
      </c>
      <c r="C20" s="33">
        <f>'Cennik enova365'!B24*1.2</f>
        <v>6000</v>
      </c>
      <c r="D20" s="33">
        <f t="shared" si="2"/>
        <v>6899.9999999999991</v>
      </c>
      <c r="E20" s="34">
        <v>0</v>
      </c>
      <c r="F20" s="39">
        <v>0</v>
      </c>
      <c r="G20" s="35">
        <f t="shared" si="0"/>
        <v>0</v>
      </c>
      <c r="H20" s="32">
        <f>IF(G20&gt;0,1,0)</f>
        <v>0</v>
      </c>
    </row>
    <row r="21" spans="1:12" ht="15.6" x14ac:dyDescent="0.3">
      <c r="A21" s="150" t="s">
        <v>78</v>
      </c>
      <c r="B21" s="86" t="s">
        <v>105</v>
      </c>
      <c r="C21" s="33">
        <f>'Cennik enova365'!B25*1.2</f>
        <v>12000</v>
      </c>
      <c r="D21" s="33">
        <f t="shared" si="2"/>
        <v>13799.999999999998</v>
      </c>
      <c r="E21" s="39">
        <v>0</v>
      </c>
      <c r="F21" s="39">
        <v>0</v>
      </c>
      <c r="G21" s="35">
        <f t="shared" si="0"/>
        <v>0</v>
      </c>
      <c r="H21" s="32">
        <f>IF(G21&gt;0,1,0)</f>
        <v>0</v>
      </c>
    </row>
    <row r="22" spans="1:12" ht="15.6" x14ac:dyDescent="0.3">
      <c r="A22" s="150" t="s">
        <v>79</v>
      </c>
      <c r="B22" s="86" t="s">
        <v>105</v>
      </c>
      <c r="C22" s="33">
        <f>'Cennik enova365'!B26*1.2</f>
        <v>6000</v>
      </c>
      <c r="D22" s="33">
        <f t="shared" si="2"/>
        <v>6899.9999999999991</v>
      </c>
      <c r="E22" s="39">
        <v>0</v>
      </c>
      <c r="F22" s="39">
        <v>0</v>
      </c>
      <c r="G22" s="35">
        <f t="shared" si="0"/>
        <v>0</v>
      </c>
      <c r="H22" s="32">
        <f t="shared" si="1"/>
        <v>0</v>
      </c>
    </row>
    <row r="23" spans="1:12" ht="15.6" x14ac:dyDescent="0.3">
      <c r="A23" s="147" t="s">
        <v>80</v>
      </c>
      <c r="B23" s="86" t="s">
        <v>105</v>
      </c>
      <c r="C23" s="33">
        <f>'Cennik enova365'!B27*1.2</f>
        <v>6000</v>
      </c>
      <c r="D23" s="33">
        <f t="shared" si="2"/>
        <v>6899.9999999999991</v>
      </c>
      <c r="E23" s="39">
        <v>0</v>
      </c>
      <c r="F23" s="39">
        <v>0</v>
      </c>
      <c r="G23" s="35">
        <f t="shared" si="0"/>
        <v>0</v>
      </c>
      <c r="H23" s="32">
        <f t="shared" si="1"/>
        <v>0</v>
      </c>
    </row>
    <row r="24" spans="1:12" ht="15.6" x14ac:dyDescent="0.3">
      <c r="A24" s="95" t="s">
        <v>81</v>
      </c>
      <c r="B24" s="96"/>
      <c r="C24" s="97"/>
      <c r="D24" s="97"/>
      <c r="E24" s="98"/>
      <c r="F24" s="98"/>
      <c r="G24" s="99">
        <f>SUM(G3:G23)</f>
        <v>0</v>
      </c>
      <c r="H24" s="32">
        <f t="shared" si="1"/>
        <v>0</v>
      </c>
    </row>
    <row r="25" spans="1:12" ht="31.2" x14ac:dyDescent="0.3">
      <c r="A25" s="80"/>
      <c r="B25" s="81"/>
      <c r="C25" s="26" t="s">
        <v>100</v>
      </c>
      <c r="D25" s="26" t="s">
        <v>101</v>
      </c>
      <c r="E25" s="105" t="s">
        <v>82</v>
      </c>
      <c r="F25" s="105" t="s">
        <v>102</v>
      </c>
      <c r="G25" s="60"/>
      <c r="H25" s="32">
        <f>H26</f>
        <v>0</v>
      </c>
    </row>
    <row r="26" spans="1:12" ht="33" customHeight="1" x14ac:dyDescent="0.3">
      <c r="A26" s="100" t="s">
        <v>61</v>
      </c>
      <c r="B26" s="149" t="s">
        <v>136</v>
      </c>
      <c r="C26" s="101">
        <v>3000</v>
      </c>
      <c r="D26" s="102">
        <f>C26*1.15</f>
        <v>3449.9999999999995</v>
      </c>
      <c r="E26" s="104">
        <v>0</v>
      </c>
      <c r="F26" s="104">
        <v>0</v>
      </c>
      <c r="G26" s="35">
        <f>IF(OR(E26="",E26=0),0,IF(OR(F26&gt;E26,AND(F26&gt;0,E26&lt;&gt;F26),E26&lt;20),"niedostępne",C26*E26+F26*C26*$F$2))</f>
        <v>0</v>
      </c>
      <c r="H26" s="32">
        <f t="shared" si="1"/>
        <v>0</v>
      </c>
    </row>
    <row r="27" spans="1:12" s="11" customFormat="1" ht="15.6" x14ac:dyDescent="0.3">
      <c r="A27" s="132" t="s">
        <v>92</v>
      </c>
      <c r="B27" s="37"/>
      <c r="C27" s="40"/>
      <c r="D27" s="40"/>
      <c r="E27" s="133" t="s">
        <v>25</v>
      </c>
      <c r="F27" s="134" t="s">
        <v>26</v>
      </c>
      <c r="G27" s="135"/>
      <c r="H27" s="136">
        <f>H29</f>
        <v>0</v>
      </c>
    </row>
    <row r="28" spans="1:12" s="11" customFormat="1" ht="15.6" x14ac:dyDescent="0.3">
      <c r="A28" s="137" t="s">
        <v>93</v>
      </c>
      <c r="B28" s="138"/>
      <c r="C28" s="33">
        <f>'Cennik enova365'!D104</f>
        <v>29990</v>
      </c>
      <c r="D28" s="33">
        <f>'Cennik enova365'!E104</f>
        <v>35990</v>
      </c>
      <c r="E28" s="34" t="s">
        <v>4</v>
      </c>
      <c r="F28" s="34" t="s">
        <v>4</v>
      </c>
      <c r="G28" s="35">
        <f>IF(AND(E28="TAK",F28="NIE"),C28,IF(AND(E28="TAK",F28="TAK"),D28,IF(AND(E28="NIE",F28="TAK"),"błąd",0)))</f>
        <v>0</v>
      </c>
      <c r="H28" s="136">
        <f t="shared" ref="H28:H29" si="3">IF(G28&gt;0,1,0)</f>
        <v>0</v>
      </c>
    </row>
    <row r="29" spans="1:12" s="11" customFormat="1" ht="15.6" x14ac:dyDescent="0.3">
      <c r="A29" s="139" t="s">
        <v>94</v>
      </c>
      <c r="B29" s="140"/>
      <c r="C29" s="141"/>
      <c r="D29" s="141"/>
      <c r="E29" s="142"/>
      <c r="F29" s="143"/>
      <c r="G29" s="144">
        <f>SUM(G28:G28)</f>
        <v>0</v>
      </c>
      <c r="H29" s="136">
        <f t="shared" si="3"/>
        <v>0</v>
      </c>
    </row>
    <row r="30" spans="1:12" ht="47.25" customHeight="1" x14ac:dyDescent="0.3">
      <c r="A30" s="189" t="s">
        <v>55</v>
      </c>
      <c r="B30" s="190"/>
      <c r="C30" s="191"/>
      <c r="D30" s="75" t="s">
        <v>54</v>
      </c>
      <c r="E30" s="59"/>
      <c r="F30" s="59"/>
      <c r="G30" s="76"/>
      <c r="H30" s="32">
        <f>IF(SUM(H31:H55)&gt;0,1,0)</f>
        <v>0</v>
      </c>
    </row>
    <row r="31" spans="1:12" ht="15.6" x14ac:dyDescent="0.3">
      <c r="A31" s="183" t="s">
        <v>110</v>
      </c>
      <c r="B31" s="184"/>
      <c r="C31" s="185"/>
      <c r="D31" s="36">
        <f>'Cennik enova365'!B31</f>
        <v>2490</v>
      </c>
      <c r="E31" s="34" t="s">
        <v>4</v>
      </c>
      <c r="F31" s="41"/>
      <c r="G31" s="35">
        <v>0</v>
      </c>
      <c r="H31" s="32">
        <f>IF(E31="TAK",1,0)</f>
        <v>0</v>
      </c>
      <c r="I31" s="192"/>
      <c r="J31" s="192"/>
      <c r="K31" s="192"/>
      <c r="L31" s="192"/>
    </row>
    <row r="32" spans="1:12" ht="15.6" x14ac:dyDescent="0.3">
      <c r="A32" s="183" t="s">
        <v>33</v>
      </c>
      <c r="B32" s="184"/>
      <c r="C32" s="185"/>
      <c r="D32" s="36">
        <f>'Cennik enova365'!B32</f>
        <v>2490</v>
      </c>
      <c r="E32" s="34" t="s">
        <v>4</v>
      </c>
      <c r="F32" s="41"/>
      <c r="G32" s="35">
        <v>0</v>
      </c>
      <c r="H32" s="32">
        <f t="shared" ref="H32:H55" si="4">IF(E32="TAK",1,0)</f>
        <v>0</v>
      </c>
    </row>
    <row r="33" spans="1:8" ht="15.6" x14ac:dyDescent="0.3">
      <c r="A33" s="183" t="s">
        <v>111</v>
      </c>
      <c r="B33" s="184"/>
      <c r="C33" s="185"/>
      <c r="D33" s="36">
        <f>'Cennik enova365'!B33</f>
        <v>7500</v>
      </c>
      <c r="E33" s="34" t="s">
        <v>4</v>
      </c>
      <c r="F33" s="41"/>
      <c r="G33" s="35">
        <v>0</v>
      </c>
      <c r="H33" s="32">
        <f t="shared" si="4"/>
        <v>0</v>
      </c>
    </row>
    <row r="34" spans="1:8" ht="15.6" x14ac:dyDescent="0.3">
      <c r="A34" s="183" t="s">
        <v>112</v>
      </c>
      <c r="B34" s="184"/>
      <c r="C34" s="185"/>
      <c r="D34" s="36">
        <f>'Cennik enova365'!B34</f>
        <v>695</v>
      </c>
      <c r="E34" s="34" t="s">
        <v>4</v>
      </c>
      <c r="F34" s="41"/>
      <c r="G34" s="35">
        <v>0</v>
      </c>
      <c r="H34" s="32">
        <f t="shared" si="4"/>
        <v>0</v>
      </c>
    </row>
    <row r="35" spans="1:8" ht="15.6" x14ac:dyDescent="0.3">
      <c r="A35" s="183" t="s">
        <v>34</v>
      </c>
      <c r="B35" s="184"/>
      <c r="C35" s="185"/>
      <c r="D35" s="36">
        <f>'Cennik enova365'!B35</f>
        <v>1990</v>
      </c>
      <c r="E35" s="34" t="s">
        <v>4</v>
      </c>
      <c r="F35" s="41"/>
      <c r="G35" s="35">
        <v>0</v>
      </c>
      <c r="H35" s="32">
        <f t="shared" si="4"/>
        <v>0</v>
      </c>
    </row>
    <row r="36" spans="1:8" ht="15.6" x14ac:dyDescent="0.3">
      <c r="A36" s="183" t="s">
        <v>113</v>
      </c>
      <c r="B36" s="184"/>
      <c r="C36" s="185"/>
      <c r="D36" s="36">
        <f>'Cennik enova365'!B36</f>
        <v>1990</v>
      </c>
      <c r="E36" s="34" t="s">
        <v>4</v>
      </c>
      <c r="F36" s="41"/>
      <c r="G36" s="35">
        <v>0</v>
      </c>
      <c r="H36" s="32">
        <f t="shared" si="4"/>
        <v>0</v>
      </c>
    </row>
    <row r="37" spans="1:8" ht="15.6" x14ac:dyDescent="0.3">
      <c r="A37" s="183" t="s">
        <v>106</v>
      </c>
      <c r="B37" s="184"/>
      <c r="C37" s="185"/>
      <c r="D37" s="36">
        <f>'Cennik enova365'!B37</f>
        <v>1490</v>
      </c>
      <c r="E37" s="34" t="s">
        <v>4</v>
      </c>
      <c r="F37" s="41"/>
      <c r="G37" s="35">
        <v>0</v>
      </c>
      <c r="H37" s="32">
        <f t="shared" si="4"/>
        <v>0</v>
      </c>
    </row>
    <row r="38" spans="1:8" ht="15.6" x14ac:dyDescent="0.3">
      <c r="A38" s="183" t="s">
        <v>173</v>
      </c>
      <c r="B38" s="184"/>
      <c r="C38" s="185"/>
      <c r="D38" s="36">
        <f>'Cennik enova365'!B38</f>
        <v>890</v>
      </c>
      <c r="E38" s="34" t="s">
        <v>4</v>
      </c>
      <c r="F38" s="41"/>
      <c r="G38" s="35">
        <v>0</v>
      </c>
      <c r="H38" s="32">
        <f t="shared" si="4"/>
        <v>0</v>
      </c>
    </row>
    <row r="39" spans="1:8" ht="15.6" x14ac:dyDescent="0.3">
      <c r="A39" s="183" t="s">
        <v>59</v>
      </c>
      <c r="B39" s="184"/>
      <c r="C39" s="185"/>
      <c r="D39" s="36">
        <f>'Cennik enova365'!B39</f>
        <v>2490</v>
      </c>
      <c r="E39" s="34" t="s">
        <v>4</v>
      </c>
      <c r="F39" s="41"/>
      <c r="G39" s="35">
        <v>0</v>
      </c>
      <c r="H39" s="32">
        <f t="shared" si="4"/>
        <v>0</v>
      </c>
    </row>
    <row r="40" spans="1:8" ht="15.6" x14ac:dyDescent="0.3">
      <c r="A40" s="183" t="s">
        <v>28</v>
      </c>
      <c r="B40" s="184"/>
      <c r="C40" s="185"/>
      <c r="D40" s="36">
        <f>'Cennik enova365'!B40</f>
        <v>1990</v>
      </c>
      <c r="E40" s="34" t="s">
        <v>4</v>
      </c>
      <c r="F40" s="41"/>
      <c r="G40" s="35">
        <v>0</v>
      </c>
      <c r="H40" s="32">
        <f t="shared" si="4"/>
        <v>0</v>
      </c>
    </row>
    <row r="41" spans="1:8" ht="15.6" x14ac:dyDescent="0.3">
      <c r="A41" s="183" t="s">
        <v>29</v>
      </c>
      <c r="B41" s="184"/>
      <c r="C41" s="185"/>
      <c r="D41" s="36">
        <f>'Cennik enova365'!B41</f>
        <v>2190</v>
      </c>
      <c r="E41" s="34" t="s">
        <v>4</v>
      </c>
      <c r="F41" s="41"/>
      <c r="G41" s="35">
        <v>0</v>
      </c>
      <c r="H41" s="32">
        <f t="shared" si="4"/>
        <v>0</v>
      </c>
    </row>
    <row r="42" spans="1:8" ht="15.6" x14ac:dyDescent="0.3">
      <c r="A42" s="183" t="s">
        <v>30</v>
      </c>
      <c r="B42" s="184"/>
      <c r="C42" s="185"/>
      <c r="D42" s="36">
        <f>'Cennik enova365'!B42</f>
        <v>2490</v>
      </c>
      <c r="E42" s="34" t="s">
        <v>4</v>
      </c>
      <c r="F42" s="41"/>
      <c r="G42" s="35">
        <v>0</v>
      </c>
      <c r="H42" s="32">
        <f t="shared" si="4"/>
        <v>0</v>
      </c>
    </row>
    <row r="43" spans="1:8" ht="15.6" x14ac:dyDescent="0.3">
      <c r="A43" s="183" t="s">
        <v>31</v>
      </c>
      <c r="B43" s="184"/>
      <c r="C43" s="185"/>
      <c r="D43" s="36">
        <f>'Cennik enova365'!B43</f>
        <v>1490</v>
      </c>
      <c r="E43" s="34" t="s">
        <v>4</v>
      </c>
      <c r="F43" s="41"/>
      <c r="G43" s="35">
        <v>0</v>
      </c>
      <c r="H43" s="32">
        <f t="shared" si="4"/>
        <v>0</v>
      </c>
    </row>
    <row r="44" spans="1:8" ht="15.6" x14ac:dyDescent="0.3">
      <c r="A44" s="183" t="s">
        <v>32</v>
      </c>
      <c r="B44" s="184"/>
      <c r="C44" s="185"/>
      <c r="D44" s="36">
        <f>'Cennik enova365'!B44</f>
        <v>1490</v>
      </c>
      <c r="E44" s="34" t="s">
        <v>4</v>
      </c>
      <c r="F44" s="41"/>
      <c r="G44" s="35">
        <v>0</v>
      </c>
      <c r="H44" s="32">
        <f t="shared" si="4"/>
        <v>0</v>
      </c>
    </row>
    <row r="45" spans="1:8" ht="15.6" x14ac:dyDescent="0.3">
      <c r="A45" s="183" t="s">
        <v>35</v>
      </c>
      <c r="B45" s="184"/>
      <c r="C45" s="185"/>
      <c r="D45" s="36">
        <f>'Cennik enova365'!B45</f>
        <v>690</v>
      </c>
      <c r="E45" s="34" t="s">
        <v>4</v>
      </c>
      <c r="F45" s="41"/>
      <c r="G45" s="35">
        <v>0</v>
      </c>
      <c r="H45" s="32">
        <f t="shared" si="4"/>
        <v>0</v>
      </c>
    </row>
    <row r="46" spans="1:8" ht="15.6" x14ac:dyDescent="0.3">
      <c r="A46" s="183" t="s">
        <v>39</v>
      </c>
      <c r="B46" s="184"/>
      <c r="C46" s="185"/>
      <c r="D46" s="36">
        <f>'Cennik enova365'!B46</f>
        <v>720</v>
      </c>
      <c r="E46" s="34" t="s">
        <v>4</v>
      </c>
      <c r="F46" s="41"/>
      <c r="G46" s="35">
        <v>0</v>
      </c>
      <c r="H46" s="32">
        <f t="shared" si="4"/>
        <v>0</v>
      </c>
    </row>
    <row r="47" spans="1:8" ht="15.6" x14ac:dyDescent="0.3">
      <c r="A47" s="183" t="s">
        <v>114</v>
      </c>
      <c r="B47" s="184"/>
      <c r="C47" s="185"/>
      <c r="D47" s="36">
        <f>'Cennik enova365'!B47</f>
        <v>190</v>
      </c>
      <c r="E47" s="34" t="s">
        <v>4</v>
      </c>
      <c r="F47" s="41"/>
      <c r="G47" s="35">
        <v>0</v>
      </c>
      <c r="H47" s="32">
        <f t="shared" si="4"/>
        <v>0</v>
      </c>
    </row>
    <row r="48" spans="1:8" ht="15.6" x14ac:dyDescent="0.3">
      <c r="A48" s="183" t="s">
        <v>38</v>
      </c>
      <c r="B48" s="184"/>
      <c r="C48" s="185"/>
      <c r="D48" s="36">
        <f>'Cennik enova365'!B48</f>
        <v>1990</v>
      </c>
      <c r="E48" s="34" t="s">
        <v>4</v>
      </c>
      <c r="F48" s="41"/>
      <c r="G48" s="35">
        <v>0</v>
      </c>
      <c r="H48" s="32">
        <f t="shared" si="4"/>
        <v>0</v>
      </c>
    </row>
    <row r="49" spans="1:8" ht="15.6" x14ac:dyDescent="0.3">
      <c r="A49" s="183" t="s">
        <v>138</v>
      </c>
      <c r="B49" s="184"/>
      <c r="C49" s="185"/>
      <c r="D49" s="36">
        <f>'Cennik enova365'!B49</f>
        <v>1990</v>
      </c>
      <c r="E49" s="34" t="s">
        <v>4</v>
      </c>
      <c r="F49" s="41"/>
      <c r="G49" s="35">
        <v>0</v>
      </c>
      <c r="H49" s="32">
        <f t="shared" si="4"/>
        <v>0</v>
      </c>
    </row>
    <row r="50" spans="1:8" ht="15.6" x14ac:dyDescent="0.3">
      <c r="A50" s="183" t="s">
        <v>107</v>
      </c>
      <c r="B50" s="184"/>
      <c r="C50" s="185"/>
      <c r="D50" s="36">
        <f>'Cennik enova365'!B50</f>
        <v>4980</v>
      </c>
      <c r="E50" s="34" t="s">
        <v>4</v>
      </c>
      <c r="F50" s="41"/>
      <c r="G50" s="35">
        <v>0</v>
      </c>
      <c r="H50" s="32">
        <f t="shared" si="4"/>
        <v>0</v>
      </c>
    </row>
    <row r="51" spans="1:8" ht="15.6" x14ac:dyDescent="0.3">
      <c r="A51" s="183" t="s">
        <v>174</v>
      </c>
      <c r="B51" s="184"/>
      <c r="C51" s="185"/>
      <c r="D51" s="36">
        <f>'Cennik enova365'!B51</f>
        <v>1490</v>
      </c>
      <c r="E51" s="34" t="s">
        <v>4</v>
      </c>
      <c r="F51" s="41"/>
      <c r="G51" s="35">
        <v>0</v>
      </c>
      <c r="H51" s="32">
        <f t="shared" si="4"/>
        <v>0</v>
      </c>
    </row>
    <row r="52" spans="1:8" ht="15.6" x14ac:dyDescent="0.3">
      <c r="A52" s="183" t="s">
        <v>36</v>
      </c>
      <c r="B52" s="184"/>
      <c r="C52" s="185"/>
      <c r="D52" s="36">
        <f>'Cennik enova365'!B52</f>
        <v>890</v>
      </c>
      <c r="E52" s="34" t="s">
        <v>4</v>
      </c>
      <c r="F52" s="41"/>
      <c r="G52" s="35">
        <v>0</v>
      </c>
      <c r="H52" s="32">
        <f t="shared" si="4"/>
        <v>0</v>
      </c>
    </row>
    <row r="53" spans="1:8" ht="15.6" x14ac:dyDescent="0.3">
      <c r="A53" s="183" t="s">
        <v>37</v>
      </c>
      <c r="B53" s="184"/>
      <c r="C53" s="185"/>
      <c r="D53" s="36">
        <f>'Cennik enova365'!B53</f>
        <v>890</v>
      </c>
      <c r="E53" s="34" t="s">
        <v>4</v>
      </c>
      <c r="F53" s="41"/>
      <c r="G53" s="35">
        <v>0</v>
      </c>
      <c r="H53" s="32">
        <f t="shared" si="4"/>
        <v>0</v>
      </c>
    </row>
    <row r="54" spans="1:8" ht="15.6" x14ac:dyDescent="0.3">
      <c r="A54" s="183" t="s">
        <v>50</v>
      </c>
      <c r="B54" s="184"/>
      <c r="C54" s="185"/>
      <c r="D54" s="36">
        <f>'Cennik enova365'!B54</f>
        <v>1990</v>
      </c>
      <c r="E54" s="34" t="s">
        <v>4</v>
      </c>
      <c r="F54" s="41"/>
      <c r="G54" s="35">
        <v>0</v>
      </c>
      <c r="H54" s="32">
        <f t="shared" si="4"/>
        <v>0</v>
      </c>
    </row>
    <row r="55" spans="1:8" ht="15.6" x14ac:dyDescent="0.3">
      <c r="A55" s="183" t="s">
        <v>40</v>
      </c>
      <c r="B55" s="184"/>
      <c r="C55" s="185"/>
      <c r="D55" s="36">
        <f>'Cennik enova365'!B55</f>
        <v>1490</v>
      </c>
      <c r="E55" s="34" t="s">
        <v>4</v>
      </c>
      <c r="F55" s="41"/>
      <c r="G55" s="35">
        <v>0</v>
      </c>
      <c r="H55" s="32">
        <f t="shared" si="4"/>
        <v>0</v>
      </c>
    </row>
    <row r="56" spans="1:8" ht="15.6" x14ac:dyDescent="0.3">
      <c r="A56" s="193" t="s">
        <v>23</v>
      </c>
      <c r="B56" s="194"/>
      <c r="C56" s="195"/>
      <c r="D56" s="70"/>
      <c r="E56" s="87"/>
      <c r="F56" s="71"/>
      <c r="G56" s="46">
        <f>SUM(G31:G55)</f>
        <v>0</v>
      </c>
      <c r="H56" s="32">
        <f>IF(SUM(H31:H55)&gt;0,1,0)</f>
        <v>0</v>
      </c>
    </row>
    <row r="57" spans="1:8" ht="52.5" customHeight="1" x14ac:dyDescent="0.3">
      <c r="A57" s="189" t="s">
        <v>22</v>
      </c>
      <c r="B57" s="190"/>
      <c r="C57" s="191"/>
      <c r="D57" s="61"/>
      <c r="E57" s="63"/>
      <c r="F57" s="59"/>
      <c r="G57" s="62"/>
      <c r="H57" s="32">
        <f>H58</f>
        <v>0</v>
      </c>
    </row>
    <row r="58" spans="1:8" ht="15.6" x14ac:dyDescent="0.3">
      <c r="A58" s="42" t="s">
        <v>47</v>
      </c>
      <c r="B58" s="39" t="s">
        <v>4</v>
      </c>
      <c r="C58" s="36" t="s">
        <v>21</v>
      </c>
      <c r="D58" s="36"/>
      <c r="E58" s="88"/>
      <c r="F58" s="41"/>
      <c r="G58" s="35">
        <v>0</v>
      </c>
      <c r="H58" s="32">
        <f>IF(B58="TAK",1,0)</f>
        <v>0</v>
      </c>
    </row>
    <row r="59" spans="1:8" ht="15.6" x14ac:dyDescent="0.3">
      <c r="A59" s="94" t="s">
        <v>24</v>
      </c>
      <c r="B59" s="69"/>
      <c r="C59" s="70"/>
      <c r="D59" s="70"/>
      <c r="E59" s="87"/>
      <c r="F59" s="71"/>
      <c r="G59" s="46">
        <f>SUM(G58:G58)</f>
        <v>0</v>
      </c>
      <c r="H59" s="32">
        <f>H58</f>
        <v>0</v>
      </c>
    </row>
    <row r="60" spans="1:8" ht="15.6" x14ac:dyDescent="0.3">
      <c r="A60" s="80" t="s">
        <v>19</v>
      </c>
      <c r="B60" s="37"/>
      <c r="C60" s="47" t="s">
        <v>17</v>
      </c>
      <c r="D60" s="40"/>
      <c r="E60" s="40"/>
      <c r="F60" s="40"/>
      <c r="G60" s="38"/>
      <c r="H60" s="32">
        <f>IF(G66&gt;0,1,0)</f>
        <v>0</v>
      </c>
    </row>
    <row r="61" spans="1:8" ht="15.6" x14ac:dyDescent="0.3">
      <c r="A61" s="42" t="s">
        <v>42</v>
      </c>
      <c r="B61" s="39" t="s">
        <v>4</v>
      </c>
      <c r="C61" s="34" t="s">
        <v>163</v>
      </c>
      <c r="D61" s="33">
        <f>IF(C61="do 50 kont",'Cennik enova365'!B64,IF(C61="do 100 kont",'Cennik enova365'!B65,IF(C61="do 200 kont",'Cennik enova365'!B66,IF(C61="do 500 kont",'Cennik enova365'!B67,IF(C61="do 1000 kont",'Cennik enova365'!B68,IF(C61="powyżej 1000 kont",'Cennik enova365'!B69))))))</f>
        <v>2990</v>
      </c>
      <c r="E61" s="88"/>
      <c r="F61" s="88"/>
      <c r="G61" s="35">
        <f>IF(B61="TAK",D61,0)</f>
        <v>0</v>
      </c>
      <c r="H61" s="32">
        <f t="shared" ref="H61" si="5">IF(G61&gt;0,1,0)</f>
        <v>0</v>
      </c>
    </row>
    <row r="62" spans="1:8" ht="15.6" x14ac:dyDescent="0.3">
      <c r="A62" s="42" t="s">
        <v>15</v>
      </c>
      <c r="B62" s="39" t="s">
        <v>4</v>
      </c>
      <c r="C62" s="78">
        <v>0</v>
      </c>
      <c r="D62" s="33">
        <f>'Cennik enova365'!B71</f>
        <v>199</v>
      </c>
      <c r="E62" s="88"/>
      <c r="F62" s="88"/>
      <c r="G62" s="35">
        <f>IF(B62="TAK",(D62*C62),0)</f>
        <v>0</v>
      </c>
      <c r="H62" s="32">
        <f>IF(G62&gt;0,1,0)</f>
        <v>0</v>
      </c>
    </row>
    <row r="63" spans="1:8" ht="15.6" x14ac:dyDescent="0.3">
      <c r="A63" s="42" t="s">
        <v>51</v>
      </c>
      <c r="B63" s="39" t="s">
        <v>4</v>
      </c>
      <c r="C63" s="34" t="s">
        <v>163</v>
      </c>
      <c r="D63" s="33">
        <f>IF(C63="do 50 kont",'Cennik enova365'!B79,IF(C63="do 100 kont",'Cennik enova365'!B80,IF(C63="do 200 kont",'Cennik enova365'!B81,IF(C63="do 500 kont",'Cennik enova365'!B82,IF(C63="do 1000 kont",'Cennik enova365'!B83,IF(C63="powyżej 1000 kont",'Cennik enova365'!B84))))))</f>
        <v>2490</v>
      </c>
      <c r="E63" s="88"/>
      <c r="F63" s="88"/>
      <c r="G63" s="35">
        <f>IF(B63="TAK",D63,0)</f>
        <v>0</v>
      </c>
      <c r="H63" s="32">
        <f>IF(G63&gt;0,1,0)</f>
        <v>0</v>
      </c>
    </row>
    <row r="64" spans="1:8" ht="15.6" x14ac:dyDescent="0.3">
      <c r="A64" s="42" t="s">
        <v>52</v>
      </c>
      <c r="B64" s="39" t="s">
        <v>4</v>
      </c>
      <c r="C64" s="34" t="s">
        <v>163</v>
      </c>
      <c r="D64" s="33">
        <f>IF(C64="do 50 kont",'Cennik enova365'!B88,IF(C64="do 100 kont",'Cennik enova365'!B89,IF(C64="do 200 kont",'Cennik enova365'!B90,IF(C64="do 500 kont",'Cennik enova365'!B91,IF(C64="do 1000 kont",'Cennik enova365'!B92,IF(C64="powyżej 1000 kont",'Cennik enova365'!B93))))))</f>
        <v>1490</v>
      </c>
      <c r="E64" s="88"/>
      <c r="F64" s="88"/>
      <c r="G64" s="35">
        <f>IF(B64="TAK",D64,0)</f>
        <v>0</v>
      </c>
      <c r="H64" s="32">
        <f>IF(G64&gt;0,1,0)</f>
        <v>0</v>
      </c>
    </row>
    <row r="65" spans="1:12" ht="15.6" x14ac:dyDescent="0.3">
      <c r="A65" s="42" t="s">
        <v>108</v>
      </c>
      <c r="B65" s="39" t="s">
        <v>4</v>
      </c>
      <c r="C65" s="34"/>
      <c r="D65" s="33">
        <f>'Cennik enova365'!B72</f>
        <v>4950</v>
      </c>
      <c r="E65" s="88"/>
      <c r="F65" s="88"/>
      <c r="G65" s="35">
        <f>IF(B65="TAK",D65,0)</f>
        <v>0</v>
      </c>
      <c r="H65" s="32">
        <f t="shared" ref="H65" si="6">IF(G65&gt;0,1,0)</f>
        <v>0</v>
      </c>
    </row>
    <row r="66" spans="1:12" ht="15.6" x14ac:dyDescent="0.3">
      <c r="A66" s="94" t="s">
        <v>20</v>
      </c>
      <c r="B66" s="43"/>
      <c r="C66" s="44"/>
      <c r="D66" s="44"/>
      <c r="E66" s="43"/>
      <c r="F66" s="45"/>
      <c r="G66" s="46">
        <f>SUM(G61:G65)</f>
        <v>0</v>
      </c>
      <c r="H66" s="32">
        <f>IF(G66&gt;0,1,0)</f>
        <v>0</v>
      </c>
      <c r="I66" s="54"/>
      <c r="J66" s="54"/>
      <c r="K66" s="54"/>
      <c r="L66" s="54"/>
    </row>
    <row r="67" spans="1:12" ht="15.6" x14ac:dyDescent="0.3">
      <c r="A67" s="94"/>
      <c r="B67" s="45"/>
      <c r="C67" s="44"/>
      <c r="D67" s="198" t="s">
        <v>84</v>
      </c>
      <c r="E67" s="194"/>
      <c r="F67" s="195"/>
      <c r="G67" s="46"/>
      <c r="H67" s="32">
        <f t="shared" ref="H67:H86" si="7">IF(G67&gt;0,1,0)</f>
        <v>0</v>
      </c>
      <c r="I67" s="54"/>
      <c r="J67" s="54"/>
      <c r="K67" s="54"/>
      <c r="L67" s="54"/>
    </row>
    <row r="68" spans="1:12" ht="15.6" x14ac:dyDescent="0.3">
      <c r="A68" s="110" t="s">
        <v>85</v>
      </c>
      <c r="B68" s="39" t="s">
        <v>4</v>
      </c>
      <c r="C68" s="111">
        <f>'Cennik enova365'!B75</f>
        <v>0.05</v>
      </c>
      <c r="D68" s="111"/>
      <c r="E68" s="112">
        <v>0</v>
      </c>
      <c r="F68" s="113"/>
      <c r="G68" s="122">
        <f>IF(B68="TAK",(G66*E68)*C68,0)</f>
        <v>0</v>
      </c>
      <c r="H68" s="32">
        <f t="shared" si="7"/>
        <v>0</v>
      </c>
      <c r="I68" s="54"/>
      <c r="J68" s="54"/>
      <c r="K68" s="54"/>
      <c r="L68" s="54"/>
    </row>
    <row r="69" spans="1:12" ht="15.6" x14ac:dyDescent="0.3">
      <c r="A69" s="116"/>
      <c r="B69" s="117"/>
      <c r="C69" s="118"/>
      <c r="D69" s="119"/>
      <c r="E69" s="120"/>
      <c r="F69" s="117"/>
      <c r="G69" s="121"/>
      <c r="H69" s="32">
        <f t="shared" si="7"/>
        <v>0</v>
      </c>
      <c r="I69" s="54"/>
      <c r="J69" s="54"/>
      <c r="K69" s="54"/>
      <c r="L69" s="54"/>
    </row>
    <row r="70" spans="1:12" ht="15.6" x14ac:dyDescent="0.3">
      <c r="A70" s="94" t="s">
        <v>90</v>
      </c>
      <c r="B70" s="117"/>
      <c r="C70" s="118"/>
      <c r="D70" s="119"/>
      <c r="E70" s="120"/>
      <c r="F70" s="117"/>
      <c r="G70" s="123">
        <f>G68+G66</f>
        <v>0</v>
      </c>
      <c r="H70" s="32">
        <f t="shared" si="7"/>
        <v>0</v>
      </c>
      <c r="I70" s="54"/>
      <c r="J70" s="54"/>
      <c r="K70" s="54"/>
      <c r="L70" s="54"/>
    </row>
    <row r="71" spans="1:12" ht="15.6" x14ac:dyDescent="0.3">
      <c r="A71" s="124" t="s">
        <v>86</v>
      </c>
      <c r="B71" s="125"/>
      <c r="C71" s="126"/>
      <c r="D71" s="127"/>
      <c r="E71" s="131"/>
      <c r="F71" s="128"/>
      <c r="G71" s="148">
        <f>G24+G26+G56+G59+G29</f>
        <v>0</v>
      </c>
      <c r="H71" s="32">
        <f t="shared" si="7"/>
        <v>0</v>
      </c>
      <c r="I71" s="54"/>
      <c r="J71" s="54"/>
      <c r="K71" s="54"/>
      <c r="L71" s="54"/>
    </row>
    <row r="72" spans="1:12" ht="15.6" x14ac:dyDescent="0.3">
      <c r="A72" s="199" t="s">
        <v>87</v>
      </c>
      <c r="B72" s="201" t="s">
        <v>88</v>
      </c>
      <c r="C72" s="202"/>
      <c r="D72" s="129"/>
      <c r="E72" s="114" t="s">
        <v>89</v>
      </c>
      <c r="F72" s="114"/>
      <c r="G72" s="196">
        <f>IF(AND(E73&gt;5,E73&lt;11),(G71*(E73-5)*0.1),IF(AND(E73&gt;10,E73&lt;21),(G71*5*0.1+G71*(E73-10)*5%),IF(AND(E73&gt;20,E73&lt;51),(G71*5*10%+G71*10*5%+G71*(E73-20)*2.5%),IF(E73&gt;50,(G71*5*10%+G71*10*5%+G71*30*2.5%+G71*(E73-50)*1%),0))))</f>
        <v>0</v>
      </c>
      <c r="H72" s="32">
        <f t="shared" si="7"/>
        <v>0</v>
      </c>
      <c r="I72" s="54"/>
      <c r="J72" s="54"/>
      <c r="K72" s="54"/>
      <c r="L72" s="54"/>
    </row>
    <row r="73" spans="1:12" ht="15.6" x14ac:dyDescent="0.3">
      <c r="A73" s="200"/>
      <c r="B73" s="203"/>
      <c r="C73" s="204"/>
      <c r="D73" s="130"/>
      <c r="E73" s="115">
        <v>5</v>
      </c>
      <c r="F73" s="114"/>
      <c r="G73" s="197"/>
      <c r="H73" s="32">
        <f>IF(E73&gt;0,1,0)</f>
        <v>1</v>
      </c>
      <c r="I73" s="54"/>
      <c r="J73" s="54"/>
      <c r="K73" s="54"/>
      <c r="L73" s="54"/>
    </row>
    <row r="74" spans="1:12" ht="15.6" x14ac:dyDescent="0.3">
      <c r="A74" s="94"/>
      <c r="B74" s="107"/>
      <c r="C74" s="108"/>
      <c r="D74" s="108"/>
      <c r="E74" s="107"/>
      <c r="F74" s="109"/>
      <c r="G74" s="99"/>
      <c r="H74" s="32">
        <f t="shared" si="7"/>
        <v>0</v>
      </c>
      <c r="I74" s="54"/>
      <c r="J74" s="54"/>
      <c r="K74" s="54"/>
      <c r="L74" s="54"/>
    </row>
    <row r="75" spans="1:12" ht="15.6" x14ac:dyDescent="0.3">
      <c r="A75" s="48" t="s">
        <v>49</v>
      </c>
      <c r="B75" s="49"/>
      <c r="C75" s="49"/>
      <c r="D75" s="49"/>
      <c r="E75" s="49"/>
      <c r="F75" s="50"/>
      <c r="G75" s="51">
        <f>G70+G71+G72</f>
        <v>0</v>
      </c>
      <c r="H75" s="32">
        <f t="shared" si="7"/>
        <v>0</v>
      </c>
    </row>
    <row r="76" spans="1:12" ht="15.6" x14ac:dyDescent="0.3">
      <c r="A76" s="52"/>
      <c r="B76" s="34" t="s">
        <v>12</v>
      </c>
      <c r="C76" s="82">
        <v>0</v>
      </c>
      <c r="D76" s="83"/>
      <c r="E76" s="34" t="s">
        <v>4</v>
      </c>
      <c r="F76" s="84"/>
      <c r="G76" s="85">
        <f>IF(E76="TAK",G75*C76,0)</f>
        <v>0</v>
      </c>
      <c r="H76" s="32">
        <f t="shared" si="7"/>
        <v>0</v>
      </c>
      <c r="I76" s="54"/>
      <c r="J76" s="54"/>
      <c r="K76" s="54"/>
      <c r="L76" s="54"/>
    </row>
    <row r="77" spans="1:12" ht="15.6" x14ac:dyDescent="0.3">
      <c r="A77" s="53"/>
      <c r="B77" s="163" t="s">
        <v>13</v>
      </c>
      <c r="C77" s="164"/>
      <c r="D77" s="164"/>
      <c r="E77" s="163"/>
      <c r="F77" s="163"/>
      <c r="G77" s="165">
        <f>G76</f>
        <v>0</v>
      </c>
      <c r="H77" s="32">
        <f t="shared" si="7"/>
        <v>0</v>
      </c>
      <c r="I77" s="54"/>
      <c r="J77" s="54"/>
      <c r="K77" s="54"/>
      <c r="L77" s="54"/>
    </row>
    <row r="78" spans="1:12" ht="15.6" x14ac:dyDescent="0.3">
      <c r="A78" s="186" t="s">
        <v>156</v>
      </c>
      <c r="B78" s="187"/>
      <c r="C78" s="188"/>
      <c r="D78" s="159"/>
      <c r="E78" s="160" t="s">
        <v>17</v>
      </c>
      <c r="F78" s="161"/>
      <c r="G78" s="162"/>
      <c r="H78" s="32">
        <f t="shared" si="7"/>
        <v>0</v>
      </c>
      <c r="I78" s="54"/>
      <c r="J78" s="54"/>
      <c r="K78" s="54"/>
      <c r="L78" s="54"/>
    </row>
    <row r="79" spans="1:12" ht="31.2" x14ac:dyDescent="0.3">
      <c r="A79" s="42" t="s">
        <v>139</v>
      </c>
      <c r="B79" s="156" t="s">
        <v>4</v>
      </c>
      <c r="C79" s="157">
        <f>IF(B79="NA WŁASNOŚĆ 
1 stacja weryfikacji",VLOOKUP(E79,'Cennik enova365'!A107:E111,2,FALSE),IF(B79="ROCZNA 
1 stacja weryfikacji",VLOOKUP(E79,'Cennik enova365'!A107:E111,4,FALSE),IF(B79="NA WŁASNOŚĆ 
3 stacje weryfikacji",VLOOKUP(E79,'Cennik enova365'!A107:E111,3,FALSE),IF(B79="ROCZNA 
3 stacje weryfikacji",VLOOKUP(E79,'Cennik enova365'!A107:E111,5,FALSE),0))))</f>
        <v>0</v>
      </c>
      <c r="D79" s="33"/>
      <c r="E79" s="78" t="s">
        <v>142</v>
      </c>
      <c r="F79" s="41"/>
      <c r="G79" s="158">
        <f>C79</f>
        <v>0</v>
      </c>
      <c r="H79" s="32">
        <f t="shared" si="7"/>
        <v>0</v>
      </c>
      <c r="I79" s="54"/>
      <c r="J79" s="54"/>
      <c r="K79" s="54"/>
      <c r="L79" s="54"/>
    </row>
    <row r="80" spans="1:12" ht="31.2" x14ac:dyDescent="0.3">
      <c r="A80" s="42" t="s">
        <v>150</v>
      </c>
      <c r="B80" s="156" t="str">
        <f>B79</f>
        <v>NIE</v>
      </c>
      <c r="C80" s="157">
        <f>IF(B80="NA WŁASNOŚĆ 
1 stacja weryfikacji",VLOOKUP(E80,'Cennik enova365'!A121:E125,2,FALSE),IF(B80="ROCZNA 
1 stacja weryfikacji",VLOOKUP(E80,'Cennik enova365'!A121:E125,4,FALSE),IF(B80="NA WŁASNOŚĆ 
3 stacje weryfikacji",VLOOKUP(E80,'Cennik enova365'!A121:E125,3,FALSE),IF(B80="ROCZNA 
3 stacje weryfikacji",VLOOKUP(E80,'Cennik enova365'!A121:E125,5,FALSE),0))))</f>
        <v>0</v>
      </c>
      <c r="D80" s="33"/>
      <c r="E80" s="78" t="str">
        <f>E79</f>
        <v>5 000 stron rocznie</v>
      </c>
      <c r="F80" s="41"/>
      <c r="G80" s="158">
        <f>C80</f>
        <v>0</v>
      </c>
      <c r="H80" s="32">
        <f t="shared" si="7"/>
        <v>0</v>
      </c>
      <c r="I80" s="54"/>
      <c r="J80" s="54"/>
      <c r="K80" s="54"/>
      <c r="L80" s="54"/>
    </row>
    <row r="81" spans="1:12" ht="15.6" x14ac:dyDescent="0.3">
      <c r="A81" s="94" t="s">
        <v>157</v>
      </c>
      <c r="B81" s="43"/>
      <c r="C81" s="44"/>
      <c r="D81" s="44"/>
      <c r="E81" s="43"/>
      <c r="F81" s="45"/>
      <c r="G81" s="46">
        <f>SUM(G79:G80)</f>
        <v>0</v>
      </c>
      <c r="H81" s="32">
        <f t="shared" si="7"/>
        <v>0</v>
      </c>
      <c r="I81" s="54"/>
      <c r="J81" s="54"/>
      <c r="K81" s="54"/>
      <c r="L81" s="54"/>
    </row>
    <row r="82" spans="1:12" ht="15.6" x14ac:dyDescent="0.3">
      <c r="A82" s="64" t="s">
        <v>135</v>
      </c>
      <c r="B82" s="65"/>
      <c r="C82" s="65"/>
      <c r="D82" s="65"/>
      <c r="E82" s="65"/>
      <c r="F82" s="66"/>
      <c r="G82" s="67">
        <f>(G75-G77)+G81</f>
        <v>0</v>
      </c>
      <c r="H82" s="32">
        <f t="shared" si="7"/>
        <v>0</v>
      </c>
      <c r="I82" s="89"/>
      <c r="J82" s="54"/>
      <c r="K82" s="54"/>
      <c r="L82" s="54"/>
    </row>
    <row r="83" spans="1:12" s="54" customFormat="1" ht="15.6" x14ac:dyDescent="0.3">
      <c r="A83" s="180" t="s">
        <v>161</v>
      </c>
      <c r="B83" s="181"/>
      <c r="C83" s="181"/>
      <c r="D83" s="181"/>
      <c r="E83" s="181"/>
      <c r="F83" s="182"/>
      <c r="G83" s="166">
        <f>G75*0.15+IF(B94="NA WŁASNOŚĆ 
1 stacja weryfikacji",VLOOKUP(E94,'Cennik enova365'!A128:E132,2,FALSE),IF(B94="ROCZNA 
1 stacja weryfikacji",VLOOKUP(E94,'Cennik enova365'!A128:E132,4,FALSE),IF(B94="NA WŁASNOŚĆ 
3 stacje weryfikacji",VLOOKUP(E94,'Cennik enova365'!A128:E132,3,FALSE),IF(B94="ROCZNA 
3 stacje weryfikacji",VLOOKUP(E94,'Cennik enova365'!A128:E132,5,FALSE),0))))</f>
        <v>0</v>
      </c>
      <c r="H83" s="32">
        <f t="shared" si="7"/>
        <v>0</v>
      </c>
      <c r="I83" s="89"/>
    </row>
    <row r="84" spans="1:12" s="54" customFormat="1" ht="35.4" customHeight="1" x14ac:dyDescent="0.3">
      <c r="A84" s="177" t="s">
        <v>158</v>
      </c>
      <c r="B84" s="178"/>
      <c r="C84" s="178"/>
      <c r="D84" s="178"/>
      <c r="E84" s="178"/>
      <c r="F84" s="179"/>
      <c r="G84" s="167">
        <f>IF(B80="NA WŁASNOŚĆ 
1 stacja weryfikacji",VLOOKUP(E80,'Cennik enova365'!A114:E118,2,FALSE),IF(B80="ROCZNA 
1 stacja weryfikacji",VLOOKUP(E80,'Cennik enova365'!A114:E118,4,FALSE),IF(B80="NA WŁASNOŚĆ 
3 stacje weryfikacji",VLOOKUP(E80,'Cennik enova365'!A114:E118,3,FALSE),IF(B80="ROCZNA 
3 stacje weryfikacji",VLOOKUP(E80,'Cennik enova365'!A114:E118,5,FALSE),0))))</f>
        <v>0</v>
      </c>
      <c r="H84" s="32">
        <f t="shared" si="7"/>
        <v>0</v>
      </c>
      <c r="J84" s="89"/>
      <c r="K84" s="90"/>
    </row>
    <row r="85" spans="1:12" s="54" customFormat="1" ht="35.4" customHeight="1" x14ac:dyDescent="0.3">
      <c r="A85" s="177" t="s">
        <v>159</v>
      </c>
      <c r="B85" s="178"/>
      <c r="C85" s="178"/>
      <c r="D85" s="178"/>
      <c r="E85" s="178"/>
      <c r="F85" s="179"/>
      <c r="G85" s="168">
        <f>IFERROR(IF(OR(B80='Cennik enova365'!N15,B80='Cennik enova365'!N16),"-",(G80*70%)),0)</f>
        <v>0</v>
      </c>
      <c r="H85" s="32">
        <f t="shared" si="7"/>
        <v>0</v>
      </c>
      <c r="J85" s="89"/>
      <c r="K85" s="90"/>
    </row>
    <row r="86" spans="1:12" s="54" customFormat="1" ht="35.4" customHeight="1" x14ac:dyDescent="0.3">
      <c r="A86" s="177" t="s">
        <v>160</v>
      </c>
      <c r="B86" s="178"/>
      <c r="C86" s="178"/>
      <c r="D86" s="178"/>
      <c r="E86" s="178"/>
      <c r="F86" s="179"/>
      <c r="G86" s="168">
        <f>IFERROR(IF(OR(B81='Cennik enova365'!N16,B81='Cennik enova365'!N17),"-",(G81*20%)),0)</f>
        <v>0</v>
      </c>
      <c r="H86" s="32">
        <f t="shared" si="7"/>
        <v>0</v>
      </c>
      <c r="J86" s="89"/>
      <c r="K86" s="90"/>
    </row>
    <row r="87" spans="1:12" ht="14.4" customHeight="1" x14ac:dyDescent="0.3">
      <c r="A87" s="55" t="s">
        <v>56</v>
      </c>
      <c r="B87" s="56"/>
      <c r="H87" s="32">
        <v>1</v>
      </c>
    </row>
    <row r="88" spans="1:12" x14ac:dyDescent="0.3">
      <c r="A88" s="55" t="s">
        <v>57</v>
      </c>
      <c r="B88" s="56"/>
      <c r="H88" s="32">
        <v>1</v>
      </c>
    </row>
    <row r="89" spans="1:12" x14ac:dyDescent="0.3">
      <c r="A89" s="57" t="s">
        <v>58</v>
      </c>
      <c r="B89" s="58"/>
      <c r="H89" s="32">
        <v>1</v>
      </c>
    </row>
    <row r="90" spans="1:12" x14ac:dyDescent="0.3">
      <c r="I90" s="54"/>
      <c r="J90" s="54"/>
      <c r="K90" s="54"/>
      <c r="L90" s="54"/>
    </row>
    <row r="91" spans="1:12" x14ac:dyDescent="0.3">
      <c r="I91" s="54"/>
      <c r="J91" s="54"/>
      <c r="K91" s="54"/>
      <c r="L91" s="54"/>
    </row>
    <row r="92" spans="1:12" x14ac:dyDescent="0.3">
      <c r="I92" s="54"/>
      <c r="J92" s="54"/>
      <c r="K92" s="54"/>
      <c r="L92" s="54"/>
    </row>
    <row r="93" spans="1:12" x14ac:dyDescent="0.3">
      <c r="I93" s="54"/>
      <c r="J93" s="54"/>
      <c r="K93" s="54"/>
      <c r="L93" s="54"/>
    </row>
    <row r="94" spans="1:12" x14ac:dyDescent="0.3">
      <c r="G94" s="91"/>
      <c r="I94" s="54"/>
      <c r="J94" s="54"/>
      <c r="K94" s="54"/>
      <c r="L94" s="54"/>
    </row>
    <row r="95" spans="1:12" x14ac:dyDescent="0.3">
      <c r="I95" s="54"/>
      <c r="J95" s="54"/>
      <c r="K95" s="54"/>
      <c r="L95" s="54"/>
    </row>
    <row r="96" spans="1:12" x14ac:dyDescent="0.3">
      <c r="G96" s="92"/>
      <c r="I96" s="54"/>
      <c r="J96" s="54"/>
      <c r="K96" s="54"/>
      <c r="L96" s="54"/>
    </row>
    <row r="98" spans="7:7" x14ac:dyDescent="0.3">
      <c r="G98" s="93"/>
    </row>
  </sheetData>
  <autoFilter ref="H1:H89"/>
  <mergeCells count="38">
    <mergeCell ref="A40:C40"/>
    <mergeCell ref="A30:C30"/>
    <mergeCell ref="A31:C31"/>
    <mergeCell ref="I31:L31"/>
    <mergeCell ref="A32:C32"/>
    <mergeCell ref="A33:C33"/>
    <mergeCell ref="A34:C34"/>
    <mergeCell ref="A35:C35"/>
    <mergeCell ref="A36:C36"/>
    <mergeCell ref="A37:C37"/>
    <mergeCell ref="A39:C39"/>
    <mergeCell ref="A38:C38"/>
    <mergeCell ref="A53:C53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2:C52"/>
    <mergeCell ref="A51:C51"/>
    <mergeCell ref="A54:C54"/>
    <mergeCell ref="A55:C55"/>
    <mergeCell ref="A56:C56"/>
    <mergeCell ref="A57:C57"/>
    <mergeCell ref="A78:C78"/>
    <mergeCell ref="G72:G73"/>
    <mergeCell ref="A84:F84"/>
    <mergeCell ref="A85:F85"/>
    <mergeCell ref="A86:F86"/>
    <mergeCell ref="D67:F67"/>
    <mergeCell ref="A72:A73"/>
    <mergeCell ref="B72:C73"/>
    <mergeCell ref="A83:F83"/>
  </mergeCells>
  <dataValidations count="15">
    <dataValidation allowBlank="1" showInputMessage="1" showErrorMessage="1" prompt="wpisz liczbę kierowników" sqref="C62"/>
    <dataValidation allowBlank="1" showInputMessage="1" showErrorMessage="1" prompt="dowolny moduł, który chcemy &quot;poglądać&quot;" sqref="E20"/>
    <dataValidation allowBlank="1" showInputMessage="1" showErrorMessage="1" prompt="na licencji musi być inny, dowolny moduł, którego działanie chcemy oprocesować" sqref="E17"/>
    <dataValidation allowBlank="1" showInputMessage="1" showErrorMessage="1" prompt="wymaga by na licencji było min. po 1 st. Handlu i CRM złotego" sqref="E10"/>
    <dataValidation allowBlank="1" showInputMessage="1" showErrorMessage="1" prompt="wymaga min. 1 st. Handlu złotego" sqref="E11"/>
    <dataValidation allowBlank="1" showInputMessage="1" showErrorMessage="1" prompt="wymaga: Księgi Podatkowej lub Księgi Handlowej" sqref="E7"/>
    <dataValidation type="whole" allowBlank="1" showInputMessage="1" showErrorMessage="1" error="jeśli chcesz dodać moduł do kalkulacji_x000a_wpisz 1" sqref="F3:F23 E8:E9 E12:E16 E19 E21:E23">
      <formula1>0</formula1>
      <formula2>1</formula2>
    </dataValidation>
    <dataValidation allowBlank="1" showErrorMessage="1" prompt="zaznacz odpowiednią opcję" sqref="F31:F55"/>
    <dataValidation allowBlank="1" showErrorMessage="1" prompt="wpisz liczbę tabel" sqref="F58"/>
    <dataValidation allowBlank="1" showInputMessage="1" showErrorMessage="1" prompt="wpisz wartość rabatu" sqref="C76"/>
    <dataValidation allowBlank="1" showErrorMessage="1" sqref="D76"/>
    <dataValidation type="list" allowBlank="1" showInputMessage="1" showErrorMessage="1" sqref="B69:B70">
      <formula1>$M$15:$M$16</formula1>
    </dataValidation>
    <dataValidation allowBlank="1" showInputMessage="1" showErrorMessage="1" prompt="wpisz liczbę wszystkich baz instalacji wielofirmowej" sqref="E73"/>
    <dataValidation allowBlank="1" showInputMessage="1" showErrorMessage="1" prompt="wpisz liczbę baz" sqref="E68:E70"/>
    <dataValidation allowBlank="1" showErrorMessage="1" prompt="wpisz liczbę baz" sqref="F68:F70"/>
  </dataValidations>
  <pageMargins left="0.25" right="0.25" top="0.75" bottom="0.75" header="0.3" footer="0.3"/>
  <pageSetup paperSize="9" scale="44" orientation="portrait" horizontalDpi="300" r:id="rId1"/>
  <ignoredErrors>
    <ignoredError sqref="G62 H25:H27 G9" formula="1"/>
    <ignoredError sqref="D62 C62 C65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>
          <x14:formula1>
            <xm:f>'Cennik enova365'!$A$107:$A$111</xm:f>
          </x14:formula1>
          <xm:sqref>E79</xm:sqref>
        </x14:dataValidation>
        <x14:dataValidation type="list" allowBlank="1" showInputMessage="1" showErrorMessage="1" prompt="Wymaga modułów: _x000a_Workflow platyna_x000a_DMS platyna _x000a_Harmonogram Zadań_x000a_Integracja OCR">
          <x14:formula1>
            <xm:f>'Cennik enova365'!$N$14:$N$18</xm:f>
          </x14:formula1>
          <xm:sqref>B79</xm:sqref>
        </x14:dataValidation>
        <x14:dataValidation type="list" allowBlank="1" showInputMessage="1" showErrorMessage="1" prompt="zaznacz odpowiednią opcję">
          <x14:formula1>
            <xm:f>'Cennik enova365'!$M$15:$M$16</xm:f>
          </x14:formula1>
          <xm:sqref>B58</xm:sqref>
        </x14:dataValidation>
        <x14:dataValidation type="list" allowBlank="1" showInputMessage="1" showErrorMessage="1">
          <x14:formula1>
            <xm:f>'Cennik enova365'!$M$15:$M$16</xm:f>
          </x14:formula1>
          <xm:sqref>F28 E76 B68</xm:sqref>
        </x14:dataValidation>
        <x14:dataValidation type="list" allowBlank="1" showInputMessage="1" showErrorMessage="1" prompt="dowolny moduł min. w wersji złotej_x000a_(przynajmniej jedno, dowolne stanowsiko w ramach licencji Klienta musi być złote)">
          <x14:formula1>
            <xm:f>'Cennik enova365'!$M$15:$M$16</xm:f>
          </x14:formula1>
          <xm:sqref>E28 E52 E54:E55</xm:sqref>
        </x14:dataValidation>
        <x14:dataValidation type="list" allowBlank="1" showInputMessage="1" showErrorMessage="1" prompt="wymaga:_x000a_Faktury min. srebrne_x000a_lub Handel min. srebrny">
          <x14:formula1>
            <xm:f>'Cennik enova365'!$M$15:$M$16</xm:f>
          </x14:formula1>
          <xm:sqref>E48:E49</xm:sqref>
        </x14:dataValidation>
        <x14:dataValidation type="list" allowBlank="1" showInputMessage="1" showErrorMessage="1" prompt="wymaga:_x000a_Księga Handlowa min. złota_x000a_lub Księga Podatkowa">
          <x14:formula1>
            <xm:f>'Cennik enova365'!$M$15:$M$16</xm:f>
          </x14:formula1>
          <xm:sqref>E43:E44</xm:sqref>
        </x14:dataValidation>
        <x14:dataValidation type="list" allowBlank="1" showInputMessage="1" showErrorMessage="1" prompt="wymaga: Ewidencji Środków pieniężnych, dowolny moduł samodzielny min. w wersji srebrnej (patrz powyżej zaznaczone na zielono)">
          <x14:formula1>
            <xm:f>'Cennik enova365'!$M$15:$M$16</xm:f>
          </x14:formula1>
          <xm:sqref>E41:E42 E45</xm:sqref>
        </x14:dataValidation>
        <x14:dataValidation type="list" allowBlank="1" showInputMessage="1" showErrorMessage="1" prompt="wymaga:_x000a_Księga Handlowa min. złota">
          <x14:formula1>
            <xm:f>'Cennik enova365'!$M$15:$M$16</xm:f>
          </x14:formula1>
          <xm:sqref>E39:E40</xm:sqref>
        </x14:dataValidation>
        <x14:dataValidation type="list" allowBlank="1" showInputMessage="1" showErrorMessage="1" prompt="wymaga:_x000a_Kadry Płace min. złote">
          <x14:formula1>
            <xm:f>'Cennik enova365'!$M$15:$M$16</xm:f>
          </x14:formula1>
          <xm:sqref>E31:E36 E38</xm:sqref>
        </x14:dataValidation>
        <x14:dataValidation type="list" allowBlank="1" showInputMessage="1" showErrorMessage="1" prompt="wymaga:_x000a_Kadry Płace min. złote i Handel min. złoty">
          <x14:formula1>
            <xm:f>'Cennik enova365'!$M$15:$M$16</xm:f>
          </x14:formula1>
          <xm:sqref>E37</xm:sqref>
        </x14:dataValidation>
        <x14:dataValidation type="list" allowBlank="1" showInputMessage="1" showErrorMessage="1" prompt="wymaga:_x000a_Faktury min. srebrne_x000a_lub Handel min. srebrny_x000a_">
          <x14:formula1>
            <xm:f>'Cennik enova365'!$M$15:$M$16</xm:f>
          </x14:formula1>
          <xm:sqref>E46</xm:sqref>
        </x14:dataValidation>
        <x14:dataValidation type="list" allowBlank="1" showInputMessage="1" showErrorMessage="1" prompt="dowolny moduł min. w wersji srebrnej">
          <x14:formula1>
            <xm:f>'Cennik enova365'!$M$15:$M$16</xm:f>
          </x14:formula1>
          <xm:sqref>E47</xm:sqref>
        </x14:dataValidation>
        <x14:dataValidation type="list" allowBlank="1" showInputMessage="1" showErrorMessage="1" prompt="wymaga:_x000a_CRM min. złoty_x000a_lub Projekty min. złote">
          <x14:formula1>
            <xm:f>'Cennik enova365'!$M$15:$M$16</xm:f>
          </x14:formula1>
          <xm:sqref>E53</xm:sqref>
        </x14:dataValidation>
        <x14:dataValidation type="list" allowBlank="1" showInputMessage="1" showErrorMessage="1" prompt="dowolny moduł min. w wersji złotej_x000a_(przynajmniej jedno, dowolne stanowsiko w ramach licencji Klienta musi być multi)">
          <x14:formula1>
            <xm:f>'Cennik enova365'!$M$15:$M$16</xm:f>
          </x14:formula1>
          <xm:sqref>E50</xm:sqref>
        </x14:dataValidation>
        <x14:dataValidation type="list" allowBlank="1" showInputMessage="1" showErrorMessage="1" prompt="wybierz przedział">
          <x14:formula1>
            <xm:f>'Cennik enova365'!$A$64:$A$69</xm:f>
          </x14:formula1>
          <xm:sqref>C61</xm:sqref>
        </x14:dataValidation>
        <x14:dataValidation type="list" allowBlank="1" showInputMessage="1" showErrorMessage="1" prompt="wymaga Pulpitu _x000a_Pracownika">
          <x14:formula1>
            <xm:f>'Cennik enova365'!$M$15:$M$16</xm:f>
          </x14:formula1>
          <xm:sqref>B62 B65</xm:sqref>
        </x14:dataValidation>
        <x14:dataValidation type="list" allowBlank="1" showInputMessage="1" showErrorMessage="1" prompt="wymaga Kadr Płac min. w złocie">
          <x14:formula1>
            <xm:f>'Cennik enova365'!$M$15:$M$16</xm:f>
          </x14:formula1>
          <xm:sqref>B61</xm:sqref>
        </x14:dataValidation>
        <x14:dataValidation type="list" allowBlank="1" showInputMessage="1" showErrorMessage="1" prompt="wymaga Handlu min. w złocie_x000a_lun CRM min. w złocie">
          <x14:formula1>
            <xm:f>'Cennik enova365'!$M$15:$M$16</xm:f>
          </x14:formula1>
          <xm:sqref>B63</xm:sqref>
        </x14:dataValidation>
        <x14:dataValidation type="list" allowBlank="1" showInputMessage="1" showErrorMessage="1" prompt="wymaga Workflow min. w platynie_x000a_oraz innego Pulpitu">
          <x14:formula1>
            <xm:f>'Cennik enova365'!$M$15:$M$16</xm:f>
          </x14:formula1>
          <xm:sqref>B64</xm:sqref>
        </x14:dataValidation>
        <x14:dataValidation type="list" allowBlank="1" showInputMessage="1" showErrorMessage="1" prompt="wybierz przedział">
          <x14:formula1>
            <xm:f>'Cennik enova365'!$A$88:$A$93</xm:f>
          </x14:formula1>
          <xm:sqref>C64</xm:sqref>
        </x14:dataValidation>
        <x14:dataValidation type="list" allowBlank="1" showInputMessage="1" showErrorMessage="1" prompt="wybierz przedział">
          <x14:formula1>
            <xm:f>'Cennik enova365'!$A$79:$A$84</xm:f>
          </x14:formula1>
          <xm:sqref>C63</xm:sqref>
        </x14:dataValidation>
        <x14:dataValidation type="list" allowBlank="1" showInputMessage="1" showErrorMessage="1" prompt="wymaga:_x000a_Handel min. złoty">
          <x14:formula1>
            <xm:f>'Cennik enova365'!$M$15:$M$16</xm:f>
          </x14:formula1>
          <xm:sqref>E51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zoomScale="80" zoomScaleNormal="80" workbookViewId="0">
      <selection activeCell="A51" sqref="A51"/>
    </sheetView>
  </sheetViews>
  <sheetFormatPr defaultRowHeight="14.4" x14ac:dyDescent="0.3"/>
  <cols>
    <col min="1" max="1" width="70.6640625" customWidth="1"/>
    <col min="2" max="7" width="15.6640625" customWidth="1"/>
    <col min="8" max="8" width="16" customWidth="1"/>
    <col min="9" max="11" width="15.6640625" style="11" customWidth="1"/>
    <col min="12" max="12" width="22.109375" customWidth="1"/>
    <col min="13" max="13" width="25.6640625" customWidth="1"/>
    <col min="14" max="14" width="18.6640625" customWidth="1"/>
    <col min="15" max="15" width="18.33203125" customWidth="1"/>
  </cols>
  <sheetData>
    <row r="1" spans="1:14" x14ac:dyDescent="0.3">
      <c r="M1" s="18" t="s">
        <v>41</v>
      </c>
    </row>
    <row r="2" spans="1:14" x14ac:dyDescent="0.3">
      <c r="M2" t="s">
        <v>1</v>
      </c>
      <c r="N2" s="11" t="s">
        <v>1</v>
      </c>
    </row>
    <row r="3" spans="1:14" x14ac:dyDescent="0.3">
      <c r="A3" s="24" t="s">
        <v>48</v>
      </c>
      <c r="M3" t="s">
        <v>3</v>
      </c>
      <c r="N3" s="11" t="s">
        <v>5</v>
      </c>
    </row>
    <row r="4" spans="1:14" x14ac:dyDescent="0.3">
      <c r="A4" s="12"/>
      <c r="C4" s="176">
        <v>0.15</v>
      </c>
      <c r="M4" t="s">
        <v>5</v>
      </c>
    </row>
    <row r="5" spans="1:14" x14ac:dyDescent="0.3">
      <c r="A5" s="17" t="s">
        <v>27</v>
      </c>
      <c r="B5" s="208" t="s">
        <v>83</v>
      </c>
      <c r="C5" s="208"/>
      <c r="D5" s="208" t="s">
        <v>162</v>
      </c>
      <c r="E5" s="208"/>
      <c r="F5" s="207"/>
      <c r="G5" s="207"/>
      <c r="H5" s="207"/>
      <c r="I5" s="207"/>
      <c r="J5" s="207"/>
      <c r="K5" s="207"/>
    </row>
    <row r="6" spans="1:14" x14ac:dyDescent="0.3">
      <c r="A6" s="4"/>
      <c r="B6" s="106" t="s">
        <v>25</v>
      </c>
      <c r="C6" s="106" t="s">
        <v>26</v>
      </c>
      <c r="D6" s="106" t="s">
        <v>25</v>
      </c>
      <c r="E6" s="106" t="s">
        <v>26</v>
      </c>
      <c r="F6" s="173"/>
      <c r="G6" s="173"/>
      <c r="H6" s="173"/>
      <c r="I6" s="173"/>
      <c r="J6" s="173"/>
      <c r="K6" s="173"/>
    </row>
    <row r="7" spans="1:14" x14ac:dyDescent="0.3">
      <c r="A7" s="2" t="s">
        <v>117</v>
      </c>
      <c r="B7" s="15">
        <v>22050</v>
      </c>
      <c r="C7" s="13">
        <f>B7*1.15</f>
        <v>25357.499999999996</v>
      </c>
      <c r="D7" s="174">
        <f>B7*1.2</f>
        <v>26460</v>
      </c>
      <c r="E7" s="175">
        <f>D7*1.15</f>
        <v>30428.999999999996</v>
      </c>
      <c r="F7" s="172"/>
      <c r="G7" s="172"/>
      <c r="H7" s="172"/>
      <c r="I7" s="172"/>
      <c r="J7" s="172"/>
      <c r="K7" s="172"/>
      <c r="M7" s="18" t="s">
        <v>0</v>
      </c>
    </row>
    <row r="8" spans="1:14" x14ac:dyDescent="0.3">
      <c r="A8" s="2" t="s">
        <v>118</v>
      </c>
      <c r="B8" s="15">
        <v>5250</v>
      </c>
      <c r="C8" s="13">
        <f t="shared" ref="C8:C27" si="0">B8*1.15</f>
        <v>6037.4999999999991</v>
      </c>
      <c r="D8" s="22">
        <f t="shared" ref="D8:D27" si="1">B8*1.2</f>
        <v>6300</v>
      </c>
      <c r="E8" s="13">
        <f t="shared" ref="E8:E27" si="2">D8*1.15</f>
        <v>7244.9999999999991</v>
      </c>
      <c r="F8" s="172"/>
      <c r="G8" s="172"/>
      <c r="H8" s="172"/>
      <c r="I8" s="172"/>
      <c r="J8" s="172"/>
      <c r="K8" s="172"/>
      <c r="M8" t="s">
        <v>25</v>
      </c>
    </row>
    <row r="9" spans="1:14" s="11" customFormat="1" x14ac:dyDescent="0.3">
      <c r="A9" s="2" t="s">
        <v>119</v>
      </c>
      <c r="B9" s="15">
        <v>22050</v>
      </c>
      <c r="C9" s="13">
        <f t="shared" si="0"/>
        <v>25357.499999999996</v>
      </c>
      <c r="D9" s="22">
        <f t="shared" si="1"/>
        <v>26460</v>
      </c>
      <c r="E9" s="13">
        <f t="shared" si="2"/>
        <v>30428.999999999996</v>
      </c>
      <c r="F9" s="172"/>
      <c r="G9" s="172"/>
      <c r="H9" s="172"/>
      <c r="I9" s="172"/>
      <c r="J9" s="172"/>
      <c r="K9" s="172"/>
      <c r="M9" s="11" t="s">
        <v>26</v>
      </c>
    </row>
    <row r="10" spans="1:14" x14ac:dyDescent="0.3">
      <c r="A10" s="2" t="s">
        <v>120</v>
      </c>
      <c r="B10" s="15">
        <v>10000</v>
      </c>
      <c r="C10" s="13">
        <f t="shared" si="0"/>
        <v>11500</v>
      </c>
      <c r="D10" s="22">
        <f t="shared" si="1"/>
        <v>12000</v>
      </c>
      <c r="E10" s="13">
        <f t="shared" si="2"/>
        <v>13799.999999999998</v>
      </c>
      <c r="F10" s="172"/>
      <c r="G10" s="172"/>
      <c r="H10" s="172"/>
      <c r="I10" s="172"/>
      <c r="J10" s="172"/>
      <c r="K10" s="172"/>
    </row>
    <row r="11" spans="1:14" s="11" customFormat="1" x14ac:dyDescent="0.3">
      <c r="A11" s="2" t="s">
        <v>103</v>
      </c>
      <c r="B11" s="15">
        <v>15000</v>
      </c>
      <c r="C11" s="13">
        <f t="shared" si="0"/>
        <v>17250</v>
      </c>
      <c r="D11" s="22">
        <f t="shared" si="1"/>
        <v>18000</v>
      </c>
      <c r="E11" s="13">
        <f t="shared" si="2"/>
        <v>20700</v>
      </c>
      <c r="F11" s="172"/>
      <c r="G11" s="172"/>
      <c r="H11" s="172"/>
      <c r="I11" s="172"/>
      <c r="J11" s="172"/>
      <c r="K11" s="172"/>
    </row>
    <row r="12" spans="1:14" x14ac:dyDescent="0.3">
      <c r="A12" s="2" t="s">
        <v>121</v>
      </c>
      <c r="B12" s="15">
        <v>5000</v>
      </c>
      <c r="C12" s="13">
        <f t="shared" si="0"/>
        <v>5750</v>
      </c>
      <c r="D12" s="22">
        <f t="shared" si="1"/>
        <v>6000</v>
      </c>
      <c r="E12" s="13">
        <f t="shared" si="2"/>
        <v>6899.9999999999991</v>
      </c>
      <c r="F12" s="172"/>
      <c r="G12" s="172"/>
      <c r="H12" s="172"/>
      <c r="I12" s="172"/>
      <c r="J12" s="172"/>
      <c r="K12" s="172"/>
    </row>
    <row r="13" spans="1:14" x14ac:dyDescent="0.3">
      <c r="A13" s="2" t="s">
        <v>122</v>
      </c>
      <c r="B13" s="15">
        <v>21000</v>
      </c>
      <c r="C13" s="13">
        <f t="shared" si="0"/>
        <v>24149.999999999996</v>
      </c>
      <c r="D13" s="22">
        <f t="shared" si="1"/>
        <v>25200</v>
      </c>
      <c r="E13" s="13">
        <f t="shared" si="2"/>
        <v>28979.999999999996</v>
      </c>
      <c r="F13" s="172"/>
      <c r="G13" s="172"/>
      <c r="H13" s="172"/>
      <c r="I13" s="172"/>
      <c r="J13" s="172"/>
      <c r="K13" s="172"/>
      <c r="M13" s="21" t="s">
        <v>44</v>
      </c>
    </row>
    <row r="14" spans="1:14" s="11" customFormat="1" x14ac:dyDescent="0.3">
      <c r="A14" s="2" t="s">
        <v>115</v>
      </c>
      <c r="B14" s="15">
        <v>5000</v>
      </c>
      <c r="C14" s="13">
        <f t="shared" si="0"/>
        <v>5750</v>
      </c>
      <c r="D14" s="22">
        <f t="shared" si="1"/>
        <v>6000</v>
      </c>
      <c r="E14" s="13">
        <f t="shared" si="2"/>
        <v>6899.9999999999991</v>
      </c>
      <c r="F14" s="172"/>
      <c r="G14" s="172"/>
      <c r="H14" s="172"/>
      <c r="I14" s="172"/>
      <c r="J14" s="172"/>
      <c r="K14" s="172"/>
      <c r="M14" s="21"/>
      <c r="N14" s="11" t="s">
        <v>4</v>
      </c>
    </row>
    <row r="15" spans="1:14" s="11" customFormat="1" ht="28.8" x14ac:dyDescent="0.3">
      <c r="A15" s="2" t="s">
        <v>123</v>
      </c>
      <c r="B15" s="15">
        <v>20000</v>
      </c>
      <c r="C15" s="13">
        <f t="shared" si="0"/>
        <v>23000</v>
      </c>
      <c r="D15" s="22">
        <f t="shared" si="1"/>
        <v>24000</v>
      </c>
      <c r="E15" s="13">
        <f t="shared" si="2"/>
        <v>27599.999999999996</v>
      </c>
      <c r="F15" s="172"/>
      <c r="G15" s="172"/>
      <c r="H15" s="172"/>
      <c r="I15" s="172"/>
      <c r="J15" s="172"/>
      <c r="K15" s="172"/>
      <c r="M15" s="11" t="s">
        <v>2</v>
      </c>
      <c r="N15" s="155" t="s">
        <v>152</v>
      </c>
    </row>
    <row r="16" spans="1:14" ht="28.8" x14ac:dyDescent="0.3">
      <c r="A16" s="2" t="s">
        <v>124</v>
      </c>
      <c r="B16" s="15">
        <v>15450</v>
      </c>
      <c r="C16" s="13">
        <f t="shared" si="0"/>
        <v>17767.5</v>
      </c>
      <c r="D16" s="22">
        <f t="shared" si="1"/>
        <v>18540</v>
      </c>
      <c r="E16" s="13">
        <f t="shared" si="2"/>
        <v>21321</v>
      </c>
      <c r="F16" s="172"/>
      <c r="G16" s="172"/>
      <c r="H16" s="172"/>
      <c r="I16" s="172"/>
      <c r="J16" s="172"/>
      <c r="K16" s="172"/>
      <c r="M16" t="s">
        <v>4</v>
      </c>
      <c r="N16" s="155" t="s">
        <v>153</v>
      </c>
    </row>
    <row r="17" spans="1:14" ht="28.8" x14ac:dyDescent="0.3">
      <c r="A17" s="2" t="s">
        <v>125</v>
      </c>
      <c r="B17" s="15">
        <v>5000</v>
      </c>
      <c r="C17" s="13">
        <f t="shared" si="0"/>
        <v>5750</v>
      </c>
      <c r="D17" s="22">
        <f t="shared" si="1"/>
        <v>6000</v>
      </c>
      <c r="E17" s="13">
        <f t="shared" si="2"/>
        <v>6899.9999999999991</v>
      </c>
      <c r="F17" s="172"/>
      <c r="G17" s="172"/>
      <c r="H17" s="172"/>
      <c r="I17" s="172"/>
      <c r="J17" s="172"/>
      <c r="K17" s="172"/>
      <c r="N17" s="155" t="s">
        <v>154</v>
      </c>
    </row>
    <row r="18" spans="1:14" s="11" customFormat="1" ht="28.8" x14ac:dyDescent="0.3">
      <c r="A18" s="2" t="s">
        <v>126</v>
      </c>
      <c r="B18" s="15">
        <v>5000</v>
      </c>
      <c r="C18" s="13">
        <f t="shared" si="0"/>
        <v>5750</v>
      </c>
      <c r="D18" s="22">
        <f t="shared" si="1"/>
        <v>6000</v>
      </c>
      <c r="E18" s="13">
        <f t="shared" si="2"/>
        <v>6899.9999999999991</v>
      </c>
      <c r="F18" s="172"/>
      <c r="G18" s="172"/>
      <c r="H18" s="172"/>
      <c r="I18" s="172"/>
      <c r="J18" s="172"/>
      <c r="K18" s="172"/>
      <c r="M18" s="21" t="s">
        <v>45</v>
      </c>
      <c r="N18" s="155" t="s">
        <v>155</v>
      </c>
    </row>
    <row r="19" spans="1:14" x14ac:dyDescent="0.3">
      <c r="A19" s="2" t="s">
        <v>127</v>
      </c>
      <c r="B19" s="15">
        <v>5000</v>
      </c>
      <c r="C19" s="13">
        <f t="shared" si="0"/>
        <v>5750</v>
      </c>
      <c r="D19" s="22">
        <f t="shared" si="1"/>
        <v>6000</v>
      </c>
      <c r="E19" s="13">
        <f t="shared" si="2"/>
        <v>6899.9999999999991</v>
      </c>
      <c r="F19" s="172"/>
      <c r="G19" s="172"/>
      <c r="H19" s="172"/>
      <c r="I19" s="172"/>
      <c r="J19" s="172"/>
      <c r="K19" s="172"/>
      <c r="M19" s="10">
        <v>1</v>
      </c>
    </row>
    <row r="20" spans="1:14" x14ac:dyDescent="0.3">
      <c r="A20" s="2" t="s">
        <v>128</v>
      </c>
      <c r="B20" s="15">
        <v>5000</v>
      </c>
      <c r="C20" s="13">
        <f t="shared" si="0"/>
        <v>5750</v>
      </c>
      <c r="D20" s="22">
        <f t="shared" si="1"/>
        <v>6000</v>
      </c>
      <c r="E20" s="13">
        <f t="shared" si="2"/>
        <v>6899.9999999999991</v>
      </c>
      <c r="F20" s="172"/>
      <c r="G20" s="172"/>
      <c r="H20" s="172"/>
      <c r="I20" s="172"/>
      <c r="J20" s="172"/>
      <c r="K20" s="172"/>
      <c r="M20" s="10">
        <v>2</v>
      </c>
    </row>
    <row r="21" spans="1:14" x14ac:dyDescent="0.3">
      <c r="A21" s="2" t="s">
        <v>129</v>
      </c>
      <c r="B21" s="15">
        <v>15000</v>
      </c>
      <c r="C21" s="13">
        <f t="shared" si="0"/>
        <v>17250</v>
      </c>
      <c r="D21" s="22">
        <f t="shared" si="1"/>
        <v>18000</v>
      </c>
      <c r="E21" s="13">
        <f t="shared" si="2"/>
        <v>20700</v>
      </c>
      <c r="F21" s="172"/>
      <c r="G21" s="172"/>
      <c r="H21" s="172"/>
      <c r="I21" s="172"/>
      <c r="J21" s="172"/>
      <c r="K21" s="172"/>
      <c r="M21" s="10">
        <v>3</v>
      </c>
    </row>
    <row r="22" spans="1:14" s="11" customFormat="1" x14ac:dyDescent="0.3">
      <c r="A22" s="2" t="s">
        <v>91</v>
      </c>
      <c r="B22" s="15">
        <v>5000</v>
      </c>
      <c r="C22" s="13">
        <f t="shared" si="0"/>
        <v>5750</v>
      </c>
      <c r="D22" s="22">
        <f t="shared" si="1"/>
        <v>6000</v>
      </c>
      <c r="E22" s="13">
        <f t="shared" si="2"/>
        <v>6899.9999999999991</v>
      </c>
      <c r="F22" s="172"/>
      <c r="G22" s="172"/>
      <c r="H22" s="172"/>
      <c r="I22" s="172"/>
      <c r="J22" s="172"/>
      <c r="K22" s="172"/>
      <c r="M22" s="10"/>
    </row>
    <row r="23" spans="1:14" x14ac:dyDescent="0.3">
      <c r="A23" s="2" t="s">
        <v>130</v>
      </c>
      <c r="B23" s="15">
        <v>20000</v>
      </c>
      <c r="C23" s="13">
        <f t="shared" si="0"/>
        <v>23000</v>
      </c>
      <c r="D23" s="22">
        <f t="shared" si="1"/>
        <v>24000</v>
      </c>
      <c r="E23" s="13">
        <f t="shared" si="2"/>
        <v>27599.999999999996</v>
      </c>
      <c r="F23" s="172"/>
      <c r="G23" s="172"/>
      <c r="H23" s="172"/>
      <c r="I23" s="172"/>
      <c r="J23" s="172"/>
      <c r="K23" s="172"/>
      <c r="M23" s="10">
        <v>4</v>
      </c>
    </row>
    <row r="24" spans="1:14" x14ac:dyDescent="0.3">
      <c r="A24" s="6" t="s">
        <v>131</v>
      </c>
      <c r="B24" s="15">
        <v>5000</v>
      </c>
      <c r="C24" s="13">
        <f t="shared" si="0"/>
        <v>5750</v>
      </c>
      <c r="D24" s="22">
        <f t="shared" si="1"/>
        <v>6000</v>
      </c>
      <c r="E24" s="13">
        <f t="shared" si="2"/>
        <v>6899.9999999999991</v>
      </c>
      <c r="F24" s="172"/>
      <c r="G24" s="172"/>
      <c r="H24" s="172"/>
      <c r="I24" s="172"/>
      <c r="J24" s="172"/>
      <c r="K24" s="172"/>
      <c r="M24" s="10">
        <v>5</v>
      </c>
    </row>
    <row r="25" spans="1:14" x14ac:dyDescent="0.3">
      <c r="A25" s="6" t="s">
        <v>132</v>
      </c>
      <c r="B25" s="15">
        <v>10000</v>
      </c>
      <c r="C25" s="13">
        <f t="shared" si="0"/>
        <v>11500</v>
      </c>
      <c r="D25" s="22">
        <f t="shared" si="1"/>
        <v>12000</v>
      </c>
      <c r="E25" s="13">
        <f t="shared" si="2"/>
        <v>13799.999999999998</v>
      </c>
      <c r="F25" s="172"/>
      <c r="G25" s="172"/>
      <c r="H25" s="172"/>
      <c r="I25" s="172"/>
      <c r="J25" s="172"/>
      <c r="K25" s="172"/>
      <c r="M25" s="21" t="s">
        <v>46</v>
      </c>
    </row>
    <row r="26" spans="1:14" x14ac:dyDescent="0.3">
      <c r="A26" s="6" t="s">
        <v>133</v>
      </c>
      <c r="B26" s="15">
        <v>5000</v>
      </c>
      <c r="C26" s="13">
        <f t="shared" si="0"/>
        <v>5750</v>
      </c>
      <c r="D26" s="22">
        <f t="shared" si="1"/>
        <v>6000</v>
      </c>
      <c r="E26" s="13">
        <f t="shared" si="2"/>
        <v>6899.9999999999991</v>
      </c>
      <c r="F26" s="172"/>
      <c r="G26" s="172"/>
      <c r="H26" s="172"/>
      <c r="I26" s="172"/>
      <c r="J26" s="172"/>
      <c r="K26" s="172"/>
      <c r="M26" s="10">
        <v>1</v>
      </c>
    </row>
    <row r="27" spans="1:14" x14ac:dyDescent="0.3">
      <c r="A27" s="7" t="s">
        <v>134</v>
      </c>
      <c r="B27" s="16">
        <v>5000</v>
      </c>
      <c r="C27" s="14">
        <f t="shared" si="0"/>
        <v>5750</v>
      </c>
      <c r="D27" s="23">
        <f t="shared" si="1"/>
        <v>6000</v>
      </c>
      <c r="E27" s="14">
        <f t="shared" si="2"/>
        <v>6899.9999999999991</v>
      </c>
      <c r="F27" s="15"/>
      <c r="G27" s="15"/>
      <c r="H27" s="15"/>
      <c r="I27" s="15"/>
      <c r="J27" s="15"/>
      <c r="K27" s="15"/>
      <c r="M27" s="10">
        <v>2</v>
      </c>
    </row>
    <row r="28" spans="1:14" s="11" customFormat="1" x14ac:dyDescent="0.3">
      <c r="M28" s="10">
        <v>4</v>
      </c>
    </row>
    <row r="29" spans="1:14" s="11" customFormat="1" x14ac:dyDescent="0.3">
      <c r="A29" s="2"/>
      <c r="B29" s="15"/>
      <c r="C29" s="15"/>
      <c r="D29" s="15"/>
      <c r="E29" s="15"/>
      <c r="F29" s="15"/>
      <c r="G29" s="15"/>
    </row>
    <row r="30" spans="1:14" x14ac:dyDescent="0.3">
      <c r="A30" s="8" t="s">
        <v>6</v>
      </c>
      <c r="B30" s="9"/>
      <c r="M30" s="21" t="s">
        <v>109</v>
      </c>
    </row>
    <row r="31" spans="1:14" ht="15.6" x14ac:dyDescent="0.3">
      <c r="A31" s="2" t="s">
        <v>110</v>
      </c>
      <c r="B31" s="13">
        <v>2490</v>
      </c>
      <c r="D31" s="79"/>
      <c r="E31" s="79"/>
      <c r="F31" s="79"/>
      <c r="M31" s="10">
        <v>5</v>
      </c>
    </row>
    <row r="32" spans="1:14" ht="15.6" x14ac:dyDescent="0.3">
      <c r="A32" s="2" t="s">
        <v>33</v>
      </c>
      <c r="B32" s="13">
        <v>2490</v>
      </c>
      <c r="D32" s="79"/>
      <c r="E32" s="79"/>
      <c r="F32" s="79"/>
    </row>
    <row r="33" spans="1:6" ht="15.6" x14ac:dyDescent="0.3">
      <c r="A33" s="2" t="s">
        <v>111</v>
      </c>
      <c r="B33" s="13">
        <v>7500</v>
      </c>
      <c r="D33" s="79"/>
      <c r="E33" s="79"/>
      <c r="F33" s="79"/>
    </row>
    <row r="34" spans="1:6" ht="15.6" x14ac:dyDescent="0.3">
      <c r="A34" s="2" t="s">
        <v>112</v>
      </c>
      <c r="B34" s="13">
        <v>695</v>
      </c>
      <c r="D34" s="79"/>
      <c r="E34" s="79"/>
      <c r="F34" s="79"/>
    </row>
    <row r="35" spans="1:6" ht="15.6" x14ac:dyDescent="0.3">
      <c r="A35" s="2" t="s">
        <v>34</v>
      </c>
      <c r="B35" s="13">
        <v>1990</v>
      </c>
      <c r="D35" s="79"/>
      <c r="E35" s="79"/>
      <c r="F35" s="79"/>
    </row>
    <row r="36" spans="1:6" ht="15.6" x14ac:dyDescent="0.3">
      <c r="A36" s="6" t="s">
        <v>113</v>
      </c>
      <c r="B36" s="13">
        <v>1990</v>
      </c>
      <c r="D36" s="79"/>
      <c r="E36" s="79"/>
      <c r="F36" s="79"/>
    </row>
    <row r="37" spans="1:6" ht="15.6" x14ac:dyDescent="0.3">
      <c r="A37" s="2" t="s">
        <v>106</v>
      </c>
      <c r="B37" s="13">
        <v>1490</v>
      </c>
      <c r="D37" s="79"/>
      <c r="E37" s="79"/>
      <c r="F37" s="79"/>
    </row>
    <row r="38" spans="1:6" s="11" customFormat="1" ht="15.6" x14ac:dyDescent="0.3">
      <c r="A38" s="2" t="s">
        <v>173</v>
      </c>
      <c r="B38" s="13">
        <v>890</v>
      </c>
      <c r="D38" s="79"/>
      <c r="E38" s="79"/>
      <c r="F38" s="79"/>
    </row>
    <row r="39" spans="1:6" ht="15.6" x14ac:dyDescent="0.3">
      <c r="A39" s="2" t="s">
        <v>59</v>
      </c>
      <c r="B39" s="13">
        <v>2490</v>
      </c>
      <c r="D39" s="79"/>
      <c r="E39" s="79"/>
      <c r="F39" s="79"/>
    </row>
    <row r="40" spans="1:6" ht="15.6" x14ac:dyDescent="0.3">
      <c r="A40" s="2" t="s">
        <v>28</v>
      </c>
      <c r="B40" s="13">
        <v>1990</v>
      </c>
      <c r="D40" s="79"/>
      <c r="E40" s="79"/>
      <c r="F40" s="79"/>
    </row>
    <row r="41" spans="1:6" ht="15.6" x14ac:dyDescent="0.3">
      <c r="A41" s="2" t="s">
        <v>29</v>
      </c>
      <c r="B41" s="13">
        <v>2190</v>
      </c>
      <c r="D41" s="79"/>
      <c r="E41" s="79"/>
      <c r="F41" s="79"/>
    </row>
    <row r="42" spans="1:6" ht="15.6" x14ac:dyDescent="0.3">
      <c r="A42" s="2" t="s">
        <v>30</v>
      </c>
      <c r="B42" s="13">
        <v>2490</v>
      </c>
      <c r="D42" s="79"/>
      <c r="E42" s="79"/>
      <c r="F42" s="79"/>
    </row>
    <row r="43" spans="1:6" ht="15.6" x14ac:dyDescent="0.3">
      <c r="A43" s="6" t="s">
        <v>31</v>
      </c>
      <c r="B43" s="13">
        <v>1490</v>
      </c>
      <c r="D43" s="79"/>
      <c r="E43" s="79"/>
      <c r="F43" s="79"/>
    </row>
    <row r="44" spans="1:6" ht="15.6" x14ac:dyDescent="0.3">
      <c r="A44" s="2" t="s">
        <v>32</v>
      </c>
      <c r="B44" s="13">
        <v>1490</v>
      </c>
      <c r="D44" s="79"/>
      <c r="E44" s="79"/>
      <c r="F44" s="79"/>
    </row>
    <row r="45" spans="1:6" ht="15.6" x14ac:dyDescent="0.3">
      <c r="A45" s="2" t="s">
        <v>35</v>
      </c>
      <c r="B45" s="13">
        <v>690</v>
      </c>
      <c r="D45" s="79"/>
      <c r="E45" s="79"/>
      <c r="F45" s="79"/>
    </row>
    <row r="46" spans="1:6" ht="15.6" x14ac:dyDescent="0.3">
      <c r="A46" s="6" t="s">
        <v>39</v>
      </c>
      <c r="B46" s="13">
        <v>720</v>
      </c>
      <c r="D46" s="79"/>
      <c r="E46" s="79"/>
      <c r="F46" s="79"/>
    </row>
    <row r="47" spans="1:6" ht="15.6" x14ac:dyDescent="0.3">
      <c r="A47" s="2" t="s">
        <v>114</v>
      </c>
      <c r="B47" s="13">
        <v>190</v>
      </c>
      <c r="D47" s="79"/>
      <c r="E47" s="79"/>
      <c r="F47" s="79"/>
    </row>
    <row r="48" spans="1:6" ht="15.6" x14ac:dyDescent="0.3">
      <c r="A48" s="2" t="s">
        <v>38</v>
      </c>
      <c r="B48" s="13">
        <v>1990</v>
      </c>
      <c r="D48" s="79"/>
      <c r="E48" s="79"/>
      <c r="F48" s="79"/>
    </row>
    <row r="49" spans="1:6" s="11" customFormat="1" ht="15.6" x14ac:dyDescent="0.3">
      <c r="A49" s="2" t="s">
        <v>138</v>
      </c>
      <c r="B49" s="13">
        <v>1990</v>
      </c>
      <c r="D49" s="79"/>
      <c r="E49" s="79"/>
      <c r="F49" s="79"/>
    </row>
    <row r="50" spans="1:6" ht="15.6" x14ac:dyDescent="0.3">
      <c r="A50" s="6" t="s">
        <v>107</v>
      </c>
      <c r="B50" s="13">
        <v>4980</v>
      </c>
      <c r="D50" s="79"/>
      <c r="E50" s="79"/>
      <c r="F50" s="79"/>
    </row>
    <row r="51" spans="1:6" s="11" customFormat="1" ht="15.6" x14ac:dyDescent="0.3">
      <c r="A51" s="6" t="s">
        <v>174</v>
      </c>
      <c r="B51" s="13">
        <v>1490</v>
      </c>
      <c r="D51" s="79"/>
      <c r="E51" s="79"/>
      <c r="F51" s="79"/>
    </row>
    <row r="52" spans="1:6" ht="15.6" x14ac:dyDescent="0.3">
      <c r="A52" s="6" t="s">
        <v>36</v>
      </c>
      <c r="B52" s="13">
        <v>890</v>
      </c>
      <c r="D52" s="79"/>
      <c r="E52" s="79"/>
      <c r="F52" s="79"/>
    </row>
    <row r="53" spans="1:6" ht="15.6" x14ac:dyDescent="0.3">
      <c r="A53" s="6" t="s">
        <v>37</v>
      </c>
      <c r="B53" s="13">
        <v>890</v>
      </c>
      <c r="D53" s="79"/>
      <c r="E53" s="79"/>
      <c r="F53" s="79"/>
    </row>
    <row r="54" spans="1:6" s="11" customFormat="1" ht="15.6" x14ac:dyDescent="0.3">
      <c r="A54" s="2" t="s">
        <v>50</v>
      </c>
      <c r="B54" s="13">
        <v>1990</v>
      </c>
      <c r="D54" s="79"/>
      <c r="E54" s="79"/>
      <c r="F54" s="79"/>
    </row>
    <row r="55" spans="1:6" ht="15.6" x14ac:dyDescent="0.3">
      <c r="A55" s="6" t="s">
        <v>40</v>
      </c>
      <c r="B55" s="13">
        <v>1490</v>
      </c>
      <c r="D55" s="79"/>
      <c r="E55" s="79"/>
      <c r="F55" s="79"/>
    </row>
    <row r="58" spans="1:6" x14ac:dyDescent="0.3">
      <c r="A58" s="8" t="s">
        <v>18</v>
      </c>
      <c r="B58" s="9"/>
    </row>
    <row r="59" spans="1:6" x14ac:dyDescent="0.3">
      <c r="A59" s="2" t="s">
        <v>8</v>
      </c>
      <c r="B59" s="3">
        <v>360</v>
      </c>
    </row>
    <row r="60" spans="1:6" x14ac:dyDescent="0.3">
      <c r="A60" s="4" t="s">
        <v>7</v>
      </c>
      <c r="B60" s="5">
        <v>720</v>
      </c>
    </row>
    <row r="61" spans="1:6" s="11" customFormat="1" x14ac:dyDescent="0.3">
      <c r="A61" s="1"/>
      <c r="B61" s="1"/>
    </row>
    <row r="62" spans="1:6" s="11" customFormat="1" x14ac:dyDescent="0.3">
      <c r="A62" s="1"/>
      <c r="B62" s="1"/>
    </row>
    <row r="63" spans="1:6" s="11" customFormat="1" x14ac:dyDescent="0.3">
      <c r="A63" s="8" t="s">
        <v>42</v>
      </c>
      <c r="B63" s="9"/>
    </row>
    <row r="64" spans="1:6" s="11" customFormat="1" x14ac:dyDescent="0.3">
      <c r="A64" s="2" t="s">
        <v>163</v>
      </c>
      <c r="B64" s="13">
        <v>2990</v>
      </c>
    </row>
    <row r="65" spans="1:2" s="11" customFormat="1" x14ac:dyDescent="0.3">
      <c r="A65" s="2" t="s">
        <v>164</v>
      </c>
      <c r="B65" s="13">
        <v>4990</v>
      </c>
    </row>
    <row r="66" spans="1:2" s="11" customFormat="1" x14ac:dyDescent="0.3">
      <c r="A66" s="2" t="s">
        <v>165</v>
      </c>
      <c r="B66" s="13">
        <v>8990</v>
      </c>
    </row>
    <row r="67" spans="1:2" s="11" customFormat="1" x14ac:dyDescent="0.3">
      <c r="A67" s="2" t="s">
        <v>166</v>
      </c>
      <c r="B67" s="13">
        <v>14900</v>
      </c>
    </row>
    <row r="68" spans="1:2" s="11" customFormat="1" x14ac:dyDescent="0.3">
      <c r="A68" s="2" t="s">
        <v>167</v>
      </c>
      <c r="B68" s="13">
        <v>19900</v>
      </c>
    </row>
    <row r="69" spans="1:2" x14ac:dyDescent="0.3">
      <c r="A69" s="2" t="s">
        <v>168</v>
      </c>
      <c r="B69" s="13">
        <v>24490</v>
      </c>
    </row>
    <row r="70" spans="1:2" x14ac:dyDescent="0.3">
      <c r="A70" s="8" t="s">
        <v>15</v>
      </c>
      <c r="B70" s="19"/>
    </row>
    <row r="71" spans="1:2" x14ac:dyDescent="0.3">
      <c r="A71" s="4" t="s">
        <v>15</v>
      </c>
      <c r="B71" s="5">
        <v>199</v>
      </c>
    </row>
    <row r="72" spans="1:2" x14ac:dyDescent="0.3">
      <c r="A72" s="4" t="s">
        <v>108</v>
      </c>
      <c r="B72" s="5">
        <v>4950</v>
      </c>
    </row>
    <row r="73" spans="1:2" s="11" customFormat="1" x14ac:dyDescent="0.3"/>
    <row r="74" spans="1:2" s="11" customFormat="1" x14ac:dyDescent="0.3">
      <c r="A74" s="8" t="s">
        <v>43</v>
      </c>
      <c r="B74" s="9"/>
    </row>
    <row r="75" spans="1:2" s="11" customFormat="1" x14ac:dyDescent="0.3">
      <c r="A75" s="4" t="s">
        <v>16</v>
      </c>
      <c r="B75" s="20">
        <v>0.05</v>
      </c>
    </row>
    <row r="76" spans="1:2" s="11" customFormat="1" x14ac:dyDescent="0.3">
      <c r="A76" s="1"/>
      <c r="B76" s="15"/>
    </row>
    <row r="78" spans="1:2" x14ac:dyDescent="0.3">
      <c r="A78" s="8" t="s">
        <v>51</v>
      </c>
      <c r="B78" s="9"/>
    </row>
    <row r="79" spans="1:2" x14ac:dyDescent="0.3">
      <c r="A79" s="2" t="s">
        <v>163</v>
      </c>
      <c r="B79" s="13">
        <v>2490</v>
      </c>
    </row>
    <row r="80" spans="1:2" s="11" customFormat="1" x14ac:dyDescent="0.3">
      <c r="A80" s="2" t="s">
        <v>164</v>
      </c>
      <c r="B80" s="13">
        <v>4990</v>
      </c>
    </row>
    <row r="81" spans="1:2" x14ac:dyDescent="0.3">
      <c r="A81" s="2" t="s">
        <v>165</v>
      </c>
      <c r="B81" s="13">
        <v>6990</v>
      </c>
    </row>
    <row r="82" spans="1:2" s="11" customFormat="1" x14ac:dyDescent="0.3">
      <c r="A82" s="2" t="s">
        <v>166</v>
      </c>
      <c r="B82" s="13">
        <v>8990</v>
      </c>
    </row>
    <row r="83" spans="1:2" s="11" customFormat="1" x14ac:dyDescent="0.3">
      <c r="A83" s="2" t="s">
        <v>167</v>
      </c>
      <c r="B83" s="13">
        <v>10990</v>
      </c>
    </row>
    <row r="84" spans="1:2" x14ac:dyDescent="0.3">
      <c r="A84" s="4" t="s">
        <v>168</v>
      </c>
      <c r="B84" s="14">
        <v>14490</v>
      </c>
    </row>
    <row r="85" spans="1:2" s="11" customFormat="1" x14ac:dyDescent="0.3">
      <c r="A85" s="1"/>
      <c r="B85" s="13"/>
    </row>
    <row r="86" spans="1:2" x14ac:dyDescent="0.3">
      <c r="A86" s="11"/>
      <c r="B86" s="13"/>
    </row>
    <row r="87" spans="1:2" x14ac:dyDescent="0.3">
      <c r="A87" s="8" t="s">
        <v>52</v>
      </c>
      <c r="B87" s="19"/>
    </row>
    <row r="88" spans="1:2" x14ac:dyDescent="0.3">
      <c r="A88" s="2" t="s">
        <v>163</v>
      </c>
      <c r="B88" s="13">
        <v>1490</v>
      </c>
    </row>
    <row r="89" spans="1:2" s="11" customFormat="1" x14ac:dyDescent="0.3">
      <c r="A89" s="2" t="s">
        <v>164</v>
      </c>
      <c r="B89" s="13">
        <v>2190</v>
      </c>
    </row>
    <row r="90" spans="1:2" s="11" customFormat="1" x14ac:dyDescent="0.3">
      <c r="A90" s="2" t="s">
        <v>165</v>
      </c>
      <c r="B90" s="13">
        <v>2990</v>
      </c>
    </row>
    <row r="91" spans="1:2" s="11" customFormat="1" x14ac:dyDescent="0.3">
      <c r="A91" s="2" t="s">
        <v>166</v>
      </c>
      <c r="B91" s="13">
        <v>3990</v>
      </c>
    </row>
    <row r="92" spans="1:2" x14ac:dyDescent="0.3">
      <c r="A92" s="2" t="s">
        <v>167</v>
      </c>
      <c r="B92" s="13">
        <v>4990</v>
      </c>
    </row>
    <row r="93" spans="1:2" x14ac:dyDescent="0.3">
      <c r="A93" s="4" t="s">
        <v>168</v>
      </c>
      <c r="B93" s="14">
        <v>7990</v>
      </c>
    </row>
    <row r="95" spans="1:2" s="11" customFormat="1" x14ac:dyDescent="0.3">
      <c r="A95" s="8" t="s">
        <v>53</v>
      </c>
      <c r="B95" s="19"/>
    </row>
    <row r="96" spans="1:2" s="11" customFormat="1" x14ac:dyDescent="0.3">
      <c r="A96" s="2" t="s">
        <v>169</v>
      </c>
      <c r="B96" s="13">
        <v>2290</v>
      </c>
    </row>
    <row r="97" spans="1:5" s="11" customFormat="1" x14ac:dyDescent="0.3">
      <c r="A97" s="2" t="s">
        <v>170</v>
      </c>
      <c r="B97" s="13">
        <v>6990</v>
      </c>
    </row>
    <row r="98" spans="1:5" s="11" customFormat="1" x14ac:dyDescent="0.3">
      <c r="A98" s="2" t="s">
        <v>171</v>
      </c>
      <c r="B98" s="13">
        <v>9990</v>
      </c>
    </row>
    <row r="99" spans="1:5" s="11" customFormat="1" x14ac:dyDescent="0.3">
      <c r="A99" s="4" t="s">
        <v>172</v>
      </c>
      <c r="B99" s="14">
        <v>14490</v>
      </c>
    </row>
    <row r="100" spans="1:5" s="11" customFormat="1" x14ac:dyDescent="0.3"/>
    <row r="103" spans="1:5" s="11" customFormat="1" x14ac:dyDescent="0.3">
      <c r="A103" s="145" t="s">
        <v>95</v>
      </c>
      <c r="B103" s="205" t="s">
        <v>96</v>
      </c>
      <c r="C103" s="206"/>
      <c r="D103" s="205" t="s">
        <v>97</v>
      </c>
      <c r="E103" s="206"/>
    </row>
    <row r="104" spans="1:5" s="11" customFormat="1" ht="15.6" x14ac:dyDescent="0.3">
      <c r="A104" s="146" t="s">
        <v>93</v>
      </c>
      <c r="B104" s="23">
        <v>24990</v>
      </c>
      <c r="C104" s="14">
        <v>29990</v>
      </c>
      <c r="D104" s="23">
        <v>29990</v>
      </c>
      <c r="E104" s="14">
        <v>35990</v>
      </c>
    </row>
    <row r="106" spans="1:5" x14ac:dyDescent="0.3">
      <c r="A106" s="145" t="s">
        <v>139</v>
      </c>
      <c r="B106" s="205" t="s">
        <v>140</v>
      </c>
      <c r="C106" s="206"/>
      <c r="D106" s="205" t="s">
        <v>141</v>
      </c>
      <c r="E106" s="206"/>
    </row>
    <row r="107" spans="1:5" x14ac:dyDescent="0.3">
      <c r="A107" s="2" t="s">
        <v>142</v>
      </c>
      <c r="B107" s="153">
        <v>10060</v>
      </c>
      <c r="C107" s="3" t="s">
        <v>143</v>
      </c>
      <c r="D107" s="22">
        <v>3958</v>
      </c>
      <c r="E107" s="3" t="s">
        <v>143</v>
      </c>
    </row>
    <row r="108" spans="1:5" x14ac:dyDescent="0.3">
      <c r="A108" s="2" t="s">
        <v>144</v>
      </c>
      <c r="B108" s="153">
        <v>19965</v>
      </c>
      <c r="C108" s="13">
        <v>20175</v>
      </c>
      <c r="D108" s="22">
        <v>5655</v>
      </c>
      <c r="E108" s="13">
        <v>6895</v>
      </c>
    </row>
    <row r="109" spans="1:5" x14ac:dyDescent="0.3">
      <c r="A109" s="2" t="s">
        <v>145</v>
      </c>
      <c r="B109" s="153">
        <v>25787</v>
      </c>
      <c r="C109" s="13">
        <v>37323</v>
      </c>
      <c r="D109" s="22">
        <v>8813</v>
      </c>
      <c r="E109" s="13">
        <v>12759</v>
      </c>
    </row>
    <row r="110" spans="1:5" x14ac:dyDescent="0.3">
      <c r="A110" s="2" t="s">
        <v>146</v>
      </c>
      <c r="B110" s="153">
        <v>30876</v>
      </c>
      <c r="C110" s="13">
        <v>60530</v>
      </c>
      <c r="D110" s="22">
        <v>10118</v>
      </c>
      <c r="E110" s="13">
        <v>20693</v>
      </c>
    </row>
    <row r="111" spans="1:5" x14ac:dyDescent="0.3">
      <c r="A111" s="2" t="s">
        <v>147</v>
      </c>
      <c r="B111" s="4" t="s">
        <v>148</v>
      </c>
      <c r="C111" s="4" t="s">
        <v>148</v>
      </c>
      <c r="D111" s="4" t="s">
        <v>148</v>
      </c>
      <c r="E111" s="4" t="s">
        <v>148</v>
      </c>
    </row>
    <row r="112" spans="1:5" x14ac:dyDescent="0.3">
      <c r="A112" s="11"/>
      <c r="B112" s="11"/>
      <c r="C112" s="11"/>
      <c r="D112" s="11"/>
      <c r="E112" s="11"/>
    </row>
    <row r="113" spans="1:5" x14ac:dyDescent="0.3">
      <c r="A113" s="145" t="s">
        <v>149</v>
      </c>
      <c r="B113" s="205" t="s">
        <v>140</v>
      </c>
      <c r="C113" s="206"/>
      <c r="D113" s="205" t="s">
        <v>141</v>
      </c>
      <c r="E113" s="206"/>
    </row>
    <row r="114" spans="1:5" x14ac:dyDescent="0.3">
      <c r="A114" s="2" t="s">
        <v>142</v>
      </c>
      <c r="B114" s="153">
        <v>2349</v>
      </c>
      <c r="C114" s="3" t="s">
        <v>143</v>
      </c>
      <c r="D114" s="3" t="s">
        <v>143</v>
      </c>
      <c r="E114" s="3" t="s">
        <v>143</v>
      </c>
    </row>
    <row r="115" spans="1:5" x14ac:dyDescent="0.3">
      <c r="A115" s="2" t="s">
        <v>144</v>
      </c>
      <c r="B115" s="153">
        <v>3915</v>
      </c>
      <c r="C115" s="13">
        <v>4655</v>
      </c>
      <c r="D115" s="3" t="s">
        <v>143</v>
      </c>
      <c r="E115" s="3" t="s">
        <v>143</v>
      </c>
    </row>
    <row r="116" spans="1:5" x14ac:dyDescent="0.3">
      <c r="A116" s="2" t="s">
        <v>145</v>
      </c>
      <c r="B116" s="153">
        <v>5951</v>
      </c>
      <c r="C116" s="13">
        <v>8613</v>
      </c>
      <c r="D116" s="3" t="s">
        <v>143</v>
      </c>
      <c r="E116" s="3" t="s">
        <v>143</v>
      </c>
    </row>
    <row r="117" spans="1:5" x14ac:dyDescent="0.3">
      <c r="A117" s="2" t="s">
        <v>146</v>
      </c>
      <c r="B117" s="153">
        <v>7125</v>
      </c>
      <c r="C117" s="13">
        <v>13968</v>
      </c>
      <c r="D117" s="3" t="s">
        <v>143</v>
      </c>
      <c r="E117" s="3" t="s">
        <v>143</v>
      </c>
    </row>
    <row r="118" spans="1:5" x14ac:dyDescent="0.3">
      <c r="A118" s="2" t="s">
        <v>147</v>
      </c>
      <c r="B118" s="4" t="s">
        <v>148</v>
      </c>
      <c r="C118" s="154" t="s">
        <v>148</v>
      </c>
      <c r="D118" s="3" t="s">
        <v>143</v>
      </c>
      <c r="E118" s="3" t="s">
        <v>143</v>
      </c>
    </row>
    <row r="119" spans="1:5" x14ac:dyDescent="0.3">
      <c r="A119" s="11"/>
      <c r="B119" s="11"/>
      <c r="C119" s="11"/>
      <c r="D119" s="11"/>
      <c r="E119" s="11"/>
    </row>
    <row r="120" spans="1:5" x14ac:dyDescent="0.3">
      <c r="A120" s="145" t="s">
        <v>150</v>
      </c>
      <c r="B120" s="205" t="s">
        <v>140</v>
      </c>
      <c r="C120" s="206"/>
      <c r="D120" s="205" t="s">
        <v>141</v>
      </c>
      <c r="E120" s="206"/>
    </row>
    <row r="121" spans="1:5" x14ac:dyDescent="0.3">
      <c r="A121" s="2" t="s">
        <v>142</v>
      </c>
      <c r="B121" s="153">
        <v>1990</v>
      </c>
      <c r="C121" s="3" t="s">
        <v>143</v>
      </c>
      <c r="D121" s="22">
        <v>690</v>
      </c>
      <c r="E121" s="3" t="s">
        <v>143</v>
      </c>
    </row>
    <row r="122" spans="1:5" x14ac:dyDescent="0.3">
      <c r="A122" s="2" t="s">
        <v>144</v>
      </c>
      <c r="B122" s="153">
        <v>1990</v>
      </c>
      <c r="C122" s="13">
        <v>2490</v>
      </c>
      <c r="D122" s="22">
        <v>690</v>
      </c>
      <c r="E122" s="13">
        <v>890</v>
      </c>
    </row>
    <row r="123" spans="1:5" x14ac:dyDescent="0.3">
      <c r="A123" s="2" t="s">
        <v>145</v>
      </c>
      <c r="B123" s="153">
        <v>2990</v>
      </c>
      <c r="C123" s="13">
        <v>3790</v>
      </c>
      <c r="D123" s="22">
        <v>990</v>
      </c>
      <c r="E123" s="13">
        <v>1290</v>
      </c>
    </row>
    <row r="124" spans="1:5" x14ac:dyDescent="0.3">
      <c r="A124" s="2" t="s">
        <v>146</v>
      </c>
      <c r="B124" s="153">
        <v>4990</v>
      </c>
      <c r="C124" s="13">
        <v>6290</v>
      </c>
      <c r="D124" s="22">
        <v>1690</v>
      </c>
      <c r="E124" s="13">
        <v>2190</v>
      </c>
    </row>
    <row r="125" spans="1:5" x14ac:dyDescent="0.3">
      <c r="A125" s="2" t="s">
        <v>147</v>
      </c>
      <c r="B125" s="4" t="s">
        <v>148</v>
      </c>
      <c r="C125" s="4" t="s">
        <v>148</v>
      </c>
      <c r="D125" s="4" t="s">
        <v>148</v>
      </c>
      <c r="E125" s="4" t="s">
        <v>148</v>
      </c>
    </row>
    <row r="126" spans="1:5" x14ac:dyDescent="0.3">
      <c r="A126" s="11"/>
      <c r="B126" s="11"/>
      <c r="C126" s="11"/>
      <c r="D126" s="11"/>
      <c r="E126" s="11"/>
    </row>
    <row r="127" spans="1:5" x14ac:dyDescent="0.3">
      <c r="A127" s="145" t="s">
        <v>151</v>
      </c>
      <c r="B127" s="205" t="s">
        <v>140</v>
      </c>
      <c r="C127" s="206"/>
      <c r="D127" s="205" t="s">
        <v>141</v>
      </c>
      <c r="E127" s="206"/>
    </row>
    <row r="128" spans="1:5" x14ac:dyDescent="0.3">
      <c r="A128" s="2" t="s">
        <v>142</v>
      </c>
      <c r="B128" s="153">
        <v>300</v>
      </c>
      <c r="C128" s="3" t="s">
        <v>143</v>
      </c>
      <c r="D128" s="3" t="s">
        <v>143</v>
      </c>
      <c r="E128" s="3" t="s">
        <v>143</v>
      </c>
    </row>
    <row r="129" spans="1:5" x14ac:dyDescent="0.3">
      <c r="A129" s="2" t="s">
        <v>144</v>
      </c>
      <c r="B129" s="153">
        <v>300</v>
      </c>
      <c r="C129" s="13">
        <v>450</v>
      </c>
      <c r="D129" s="3" t="s">
        <v>143</v>
      </c>
      <c r="E129" s="3" t="s">
        <v>143</v>
      </c>
    </row>
    <row r="130" spans="1:5" x14ac:dyDescent="0.3">
      <c r="A130" s="2" t="s">
        <v>145</v>
      </c>
      <c r="B130" s="153">
        <v>450</v>
      </c>
      <c r="C130" s="13">
        <v>650</v>
      </c>
      <c r="D130" s="3" t="s">
        <v>143</v>
      </c>
      <c r="E130" s="3" t="s">
        <v>143</v>
      </c>
    </row>
    <row r="131" spans="1:5" x14ac:dyDescent="0.3">
      <c r="A131" s="2" t="s">
        <v>146</v>
      </c>
      <c r="B131" s="153">
        <v>750</v>
      </c>
      <c r="C131" s="13">
        <v>950</v>
      </c>
      <c r="D131" s="3" t="s">
        <v>143</v>
      </c>
      <c r="E131" s="3" t="s">
        <v>143</v>
      </c>
    </row>
    <row r="132" spans="1:5" x14ac:dyDescent="0.3">
      <c r="A132" s="2" t="s">
        <v>147</v>
      </c>
      <c r="B132" s="4" t="s">
        <v>148</v>
      </c>
      <c r="C132" s="154" t="s">
        <v>148</v>
      </c>
      <c r="D132" s="154" t="s">
        <v>148</v>
      </c>
      <c r="E132" s="154" t="s">
        <v>148</v>
      </c>
    </row>
  </sheetData>
  <mergeCells count="15">
    <mergeCell ref="B103:C103"/>
    <mergeCell ref="D103:E103"/>
    <mergeCell ref="J5:K5"/>
    <mergeCell ref="H5:I5"/>
    <mergeCell ref="B5:C5"/>
    <mergeCell ref="D5:E5"/>
    <mergeCell ref="F5:G5"/>
    <mergeCell ref="B127:C127"/>
    <mergeCell ref="D127:E127"/>
    <mergeCell ref="B106:C106"/>
    <mergeCell ref="D106:E106"/>
    <mergeCell ref="B113:C113"/>
    <mergeCell ref="D113:E113"/>
    <mergeCell ref="B120:C120"/>
    <mergeCell ref="D120:E120"/>
  </mergeCells>
  <dataValidations count="1">
    <dataValidation allowBlank="1" showInputMessage="1" showErrorMessage="1" errorTitle="Brak możliwości edycji" sqref="J7:K10 J12:K27 D7:D27 F7:I27 B7:C10 E7:E10 B12:C27 E12:E27"/>
  </dataValidation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enova365 - Serwerowy</vt:lpstr>
      <vt:lpstr>enova365 - Serwerowy WF</vt:lpstr>
      <vt:lpstr>Cennik enova365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Koziol;sabina.dziubinska@enova.pl</dc:creator>
  <cp:lastModifiedBy>Sabina Jurek</cp:lastModifiedBy>
  <cp:lastPrinted>2016-08-03T12:38:10Z</cp:lastPrinted>
  <dcterms:created xsi:type="dcterms:W3CDTF">2012-10-16T06:15:01Z</dcterms:created>
  <dcterms:modified xsi:type="dcterms:W3CDTF">2019-10-15T06:34:44Z</dcterms:modified>
</cp:coreProperties>
</file>