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DANE\PUBLICZNY2\DH\ACCOUNTING\WEWNĘTRZNE_ACCM\KALKULATOR\"/>
    </mc:Choice>
  </mc:AlternateContent>
  <bookViews>
    <workbookView xWindow="0" yWindow="0" windowWidth="23040" windowHeight="8616" tabRatio="772"/>
  </bookViews>
  <sheets>
    <sheet name="abonament miesięczny" sheetId="10" r:id="rId1"/>
    <sheet name="abonament roczny" sheetId="11" r:id="rId2"/>
    <sheet name="Cennik enova365" sheetId="9" r:id="rId3"/>
  </sheets>
  <definedNames>
    <definedName name="_xlnm._FilterDatabase" localSheetId="0" hidden="1">'abonament miesięczny'!$F$1:$F$113</definedName>
    <definedName name="_xlnm._FilterDatabase" localSheetId="1" hidden="1">'abonament roczny'!$F$1:$F$76</definedName>
    <definedName name="_xlnm.Print_Area" localSheetId="0">'abonament miesięczny'!$A$3:$A$26</definedName>
    <definedName name="_xlnm.Print_Area" localSheetId="1">'abonament roczny'!$A$3:$A$26</definedName>
    <definedName name="Opcja">'Cennik enova365'!$I$14:$I$15</definedName>
  </definedNames>
  <calcPr calcId="162913"/>
</workbook>
</file>

<file path=xl/calcChain.xml><?xml version="1.0" encoding="utf-8"?>
<calcChain xmlns="http://schemas.openxmlformats.org/spreadsheetml/2006/main">
  <c r="C65" i="11" l="1"/>
  <c r="C64" i="11"/>
  <c r="C62" i="11"/>
  <c r="E51" i="10" l="1"/>
  <c r="F51" i="10" s="1"/>
  <c r="C51" i="10"/>
  <c r="F51" i="11"/>
  <c r="E51" i="11"/>
  <c r="C51" i="11"/>
  <c r="E49" i="10"/>
  <c r="F49" i="10" s="1"/>
  <c r="C49" i="10"/>
  <c r="E49" i="11"/>
  <c r="F49" i="11" s="1"/>
  <c r="C49" i="11"/>
  <c r="E42" i="10" l="1"/>
  <c r="F42" i="10" s="1"/>
  <c r="C42" i="10"/>
  <c r="E42" i="11"/>
  <c r="F42" i="11" s="1"/>
  <c r="C42" i="11"/>
  <c r="C65" i="10" l="1"/>
  <c r="C64" i="10"/>
  <c r="C62" i="10"/>
  <c r="E63" i="11" l="1"/>
  <c r="E63" i="10"/>
  <c r="H6" i="11" l="1"/>
  <c r="H6" i="10"/>
  <c r="H18" i="11" l="1"/>
  <c r="H13" i="11"/>
  <c r="E21" i="11"/>
  <c r="L21" i="11" s="1"/>
  <c r="H18" i="10"/>
  <c r="H13" i="10"/>
  <c r="E70" i="11" l="1"/>
  <c r="C69" i="11"/>
  <c r="C70" i="11"/>
  <c r="C70" i="10"/>
  <c r="E70" i="10"/>
  <c r="C69" i="10"/>
  <c r="F70" i="11" l="1"/>
  <c r="F70" i="10"/>
  <c r="C21" i="11"/>
  <c r="C53" i="11" l="1"/>
  <c r="D69" i="11"/>
  <c r="G70" i="11" s="1"/>
  <c r="H70" i="11" s="1"/>
  <c r="F27" i="11"/>
  <c r="C32" i="11"/>
  <c r="C29" i="11"/>
  <c r="C30" i="11"/>
  <c r="C31" i="11"/>
  <c r="C28" i="11"/>
  <c r="C32" i="10"/>
  <c r="C29" i="10"/>
  <c r="C30" i="10"/>
  <c r="C31" i="10"/>
  <c r="C28" i="10"/>
  <c r="E32" i="11"/>
  <c r="F32" i="11" s="1"/>
  <c r="E31" i="11"/>
  <c r="F31" i="11" s="1"/>
  <c r="E30" i="11"/>
  <c r="F30" i="11" s="1"/>
  <c r="E29" i="11"/>
  <c r="F29" i="11" s="1"/>
  <c r="E28" i="11"/>
  <c r="F28" i="11" s="1"/>
  <c r="D69" i="10"/>
  <c r="G70" i="10" s="1"/>
  <c r="H70" i="10" s="1"/>
  <c r="E29" i="10"/>
  <c r="F29" i="10" s="1"/>
  <c r="E30" i="10"/>
  <c r="F30" i="10" s="1"/>
  <c r="E31" i="10"/>
  <c r="F31" i="10" s="1"/>
  <c r="E59" i="11"/>
  <c r="E58" i="11"/>
  <c r="E59" i="10"/>
  <c r="E69" i="10" l="1"/>
  <c r="F69" i="10" s="1"/>
  <c r="E60" i="11"/>
  <c r="E69" i="11"/>
  <c r="E33" i="11"/>
  <c r="C66" i="10"/>
  <c r="C63" i="10"/>
  <c r="C66" i="11"/>
  <c r="C63" i="11"/>
  <c r="C59" i="11"/>
  <c r="C58" i="11"/>
  <c r="C36" i="11"/>
  <c r="C37" i="11"/>
  <c r="C38" i="11"/>
  <c r="C39" i="11"/>
  <c r="C40" i="11"/>
  <c r="C41" i="11"/>
  <c r="C43" i="11"/>
  <c r="C44" i="11"/>
  <c r="C45" i="11"/>
  <c r="C46" i="11"/>
  <c r="C47" i="11"/>
  <c r="C48" i="11"/>
  <c r="C50" i="11"/>
  <c r="C52" i="11"/>
  <c r="C54" i="11"/>
  <c r="C35" i="11"/>
  <c r="C4" i="11"/>
  <c r="C5" i="11"/>
  <c r="E5" i="11" s="1"/>
  <c r="C6" i="11"/>
  <c r="C7" i="11"/>
  <c r="C8" i="11"/>
  <c r="C9" i="11"/>
  <c r="C10" i="11"/>
  <c r="E10" i="11" s="1"/>
  <c r="L10" i="11" s="1"/>
  <c r="C11" i="11"/>
  <c r="C12" i="11"/>
  <c r="C13" i="11"/>
  <c r="C14" i="11"/>
  <c r="C15" i="11"/>
  <c r="C16" i="11"/>
  <c r="C17" i="11"/>
  <c r="C18" i="11"/>
  <c r="C19" i="11"/>
  <c r="C20" i="11"/>
  <c r="C22" i="11"/>
  <c r="C23" i="11"/>
  <c r="C24" i="11"/>
  <c r="C25" i="11"/>
  <c r="C3" i="11"/>
  <c r="E3" i="11" s="1"/>
  <c r="L3" i="11" s="1"/>
  <c r="E66" i="11"/>
  <c r="F66" i="11" s="1"/>
  <c r="E64" i="11"/>
  <c r="F64" i="11" s="1"/>
  <c r="F61" i="11"/>
  <c r="F59" i="11"/>
  <c r="F58" i="11"/>
  <c r="F57" i="11"/>
  <c r="F56" i="11"/>
  <c r="F34" i="11"/>
  <c r="F21" i="11"/>
  <c r="H5" i="11" l="1"/>
  <c r="L5" i="11"/>
  <c r="E71" i="10"/>
  <c r="F71" i="10" s="1"/>
  <c r="E65" i="11"/>
  <c r="F65" i="11" s="1"/>
  <c r="E62" i="11"/>
  <c r="F62" i="11" s="1"/>
  <c r="E25" i="11"/>
  <c r="E8" i="11"/>
  <c r="E24" i="11"/>
  <c r="L24" i="11" s="1"/>
  <c r="E19" i="11"/>
  <c r="E15" i="11"/>
  <c r="L15" i="11" s="1"/>
  <c r="E11" i="11"/>
  <c r="E7" i="11"/>
  <c r="L7" i="11" s="1"/>
  <c r="E16" i="11"/>
  <c r="E4" i="11"/>
  <c r="L4" i="11" s="1"/>
  <c r="E23" i="11"/>
  <c r="E18" i="11"/>
  <c r="L18" i="11" s="1"/>
  <c r="E14" i="11"/>
  <c r="F10" i="11"/>
  <c r="H10" i="11"/>
  <c r="E6" i="11"/>
  <c r="L6" i="11" s="1"/>
  <c r="E20" i="11"/>
  <c r="E12" i="11"/>
  <c r="E22" i="11"/>
  <c r="E17" i="11"/>
  <c r="E13" i="11"/>
  <c r="E9" i="11"/>
  <c r="F5" i="11"/>
  <c r="F69" i="11"/>
  <c r="E71" i="11"/>
  <c r="F33" i="11"/>
  <c r="F60" i="11"/>
  <c r="F3" i="11"/>
  <c r="F24" i="11" l="1"/>
  <c r="F7" i="11"/>
  <c r="F8" i="11"/>
  <c r="L8" i="11"/>
  <c r="F9" i="11"/>
  <c r="L9" i="11"/>
  <c r="F22" i="11"/>
  <c r="L22" i="11"/>
  <c r="F18" i="11"/>
  <c r="F15" i="11"/>
  <c r="F16" i="11"/>
  <c r="L16" i="11"/>
  <c r="F25" i="11"/>
  <c r="L25" i="11"/>
  <c r="F14" i="11"/>
  <c r="L14" i="11"/>
  <c r="F11" i="11"/>
  <c r="L11" i="11"/>
  <c r="F17" i="11"/>
  <c r="L17" i="11"/>
  <c r="F12" i="11"/>
  <c r="L12" i="11"/>
  <c r="F23" i="11"/>
  <c r="L23" i="11"/>
  <c r="F19" i="11"/>
  <c r="L19" i="11"/>
  <c r="F20" i="11"/>
  <c r="L20" i="11"/>
  <c r="F13" i="11"/>
  <c r="L13" i="11"/>
  <c r="F4" i="11"/>
  <c r="E26" i="11"/>
  <c r="F6" i="11"/>
  <c r="E66" i="10"/>
  <c r="E65" i="10"/>
  <c r="M25" i="11" l="1"/>
  <c r="F2" i="11"/>
  <c r="F26" i="11"/>
  <c r="F71" i="11"/>
  <c r="E64" i="10"/>
  <c r="E35" i="11" l="1"/>
  <c r="F35" i="11" s="1"/>
  <c r="E37" i="11"/>
  <c r="F37" i="11" s="1"/>
  <c r="E46" i="11"/>
  <c r="F46" i="11" s="1"/>
  <c r="E38" i="11"/>
  <c r="F38" i="11" s="1"/>
  <c r="E47" i="11"/>
  <c r="F47" i="11" s="1"/>
  <c r="E48" i="11"/>
  <c r="F48" i="11" s="1"/>
  <c r="E40" i="11"/>
  <c r="F40" i="11" s="1"/>
  <c r="E50" i="11"/>
  <c r="F50" i="11" s="1"/>
  <c r="E52" i="11"/>
  <c r="F52" i="11" s="1"/>
  <c r="E53" i="11"/>
  <c r="F53" i="11" s="1"/>
  <c r="E45" i="11"/>
  <c r="F45" i="11" s="1"/>
  <c r="E39" i="11"/>
  <c r="F39" i="11" s="1"/>
  <c r="E41" i="11"/>
  <c r="F41" i="11" s="1"/>
  <c r="E44" i="11"/>
  <c r="F44" i="11" s="1"/>
  <c r="E54" i="11"/>
  <c r="F54" i="11" s="1"/>
  <c r="E43" i="11"/>
  <c r="F43" i="11" s="1"/>
  <c r="E36" i="11"/>
  <c r="F36" i="11" s="1"/>
  <c r="E55" i="11" l="1"/>
  <c r="F55" i="11" s="1"/>
  <c r="E32" i="10"/>
  <c r="F32" i="10" s="1"/>
  <c r="E28" i="10"/>
  <c r="E33" i="10" l="1"/>
  <c r="C21" i="10"/>
  <c r="F66" i="10" l="1"/>
  <c r="F65" i="10"/>
  <c r="F64" i="10"/>
  <c r="F61" i="10"/>
  <c r="C59" i="10"/>
  <c r="C58" i="10"/>
  <c r="F57" i="10"/>
  <c r="F56" i="10"/>
  <c r="C54" i="10"/>
  <c r="C53" i="10"/>
  <c r="C52" i="10"/>
  <c r="C50" i="10"/>
  <c r="C48" i="10"/>
  <c r="C47" i="10"/>
  <c r="C46" i="10"/>
  <c r="C45" i="10"/>
  <c r="C44" i="10"/>
  <c r="C43" i="10"/>
  <c r="C41" i="10"/>
  <c r="C40" i="10"/>
  <c r="C39" i="10"/>
  <c r="C38" i="10"/>
  <c r="C37" i="10"/>
  <c r="C36" i="10"/>
  <c r="C35" i="10"/>
  <c r="F34" i="10"/>
  <c r="F33" i="10"/>
  <c r="F27" i="10"/>
  <c r="C25" i="10"/>
  <c r="E25" i="10" s="1"/>
  <c r="F25" i="10" s="1"/>
  <c r="C24" i="10"/>
  <c r="E24" i="10" s="1"/>
  <c r="F24" i="10" s="1"/>
  <c r="C23" i="10"/>
  <c r="E23" i="10" s="1"/>
  <c r="F23" i="10" s="1"/>
  <c r="C22" i="10"/>
  <c r="E22" i="10" s="1"/>
  <c r="F22" i="10" s="1"/>
  <c r="E21" i="10"/>
  <c r="F21" i="10" s="1"/>
  <c r="C20" i="10"/>
  <c r="E20" i="10" s="1"/>
  <c r="F20" i="10" s="1"/>
  <c r="C19" i="10"/>
  <c r="E19" i="10" s="1"/>
  <c r="F19" i="10" s="1"/>
  <c r="C18" i="10"/>
  <c r="E18" i="10" s="1"/>
  <c r="F18" i="10" s="1"/>
  <c r="C17" i="10"/>
  <c r="E17" i="10" s="1"/>
  <c r="F17" i="10" s="1"/>
  <c r="C16" i="10"/>
  <c r="E16" i="10" s="1"/>
  <c r="F16" i="10" s="1"/>
  <c r="C15" i="10"/>
  <c r="E15" i="10" s="1"/>
  <c r="F15" i="10" s="1"/>
  <c r="C14" i="10"/>
  <c r="E14" i="10" s="1"/>
  <c r="F14" i="10" s="1"/>
  <c r="C13" i="10"/>
  <c r="E13" i="10" s="1"/>
  <c r="F13" i="10" s="1"/>
  <c r="C12" i="10"/>
  <c r="E12" i="10" s="1"/>
  <c r="F12" i="10" s="1"/>
  <c r="C11" i="10"/>
  <c r="E11" i="10" s="1"/>
  <c r="F11" i="10" s="1"/>
  <c r="C10" i="10"/>
  <c r="E10" i="10" s="1"/>
  <c r="C9" i="10"/>
  <c r="E9" i="10" s="1"/>
  <c r="F9" i="10" s="1"/>
  <c r="C8" i="10"/>
  <c r="E8" i="10" s="1"/>
  <c r="F8" i="10" s="1"/>
  <c r="C7" i="10"/>
  <c r="E7" i="10" s="1"/>
  <c r="F7" i="10" s="1"/>
  <c r="C6" i="10"/>
  <c r="E6" i="10" s="1"/>
  <c r="F6" i="10" s="1"/>
  <c r="C5" i="10"/>
  <c r="E5" i="10" s="1"/>
  <c r="C4" i="10"/>
  <c r="E4" i="10" s="1"/>
  <c r="F4" i="10" s="1"/>
  <c r="C3" i="10"/>
  <c r="E3" i="10" s="1"/>
  <c r="E62" i="10" s="1"/>
  <c r="F5" i="10" l="1"/>
  <c r="H5" i="10"/>
  <c r="H10" i="10"/>
  <c r="F3" i="10"/>
  <c r="F62" i="10"/>
  <c r="F28" i="10"/>
  <c r="F10" i="10" l="1"/>
  <c r="E26" i="10"/>
  <c r="F2" i="10" s="1"/>
  <c r="F26" i="10" l="1"/>
  <c r="L5" i="10"/>
  <c r="L4" i="10"/>
  <c r="L3" i="10"/>
  <c r="L25" i="10" l="1"/>
  <c r="L24" i="10"/>
  <c r="L23" i="10"/>
  <c r="L22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M25" i="10" l="1"/>
  <c r="E58" i="10"/>
  <c r="E35" i="10" l="1"/>
  <c r="F35" i="10" s="1"/>
  <c r="E36" i="10"/>
  <c r="F36" i="10" s="1"/>
  <c r="E45" i="10"/>
  <c r="F45" i="10" s="1"/>
  <c r="E54" i="10"/>
  <c r="F54" i="10" s="1"/>
  <c r="E37" i="10"/>
  <c r="F37" i="10" s="1"/>
  <c r="E46" i="10"/>
  <c r="F46" i="10" s="1"/>
  <c r="E48" i="10"/>
  <c r="F48" i="10" s="1"/>
  <c r="E50" i="10"/>
  <c r="F50" i="10" s="1"/>
  <c r="E43" i="10"/>
  <c r="F43" i="10" s="1"/>
  <c r="E44" i="10"/>
  <c r="F44" i="10" s="1"/>
  <c r="E38" i="10"/>
  <c r="F38" i="10" s="1"/>
  <c r="E47" i="10"/>
  <c r="F47" i="10" s="1"/>
  <c r="E40" i="10"/>
  <c r="F40" i="10" s="1"/>
  <c r="E52" i="10"/>
  <c r="F52" i="10" s="1"/>
  <c r="E39" i="10"/>
  <c r="F39" i="10" s="1"/>
  <c r="E41" i="10"/>
  <c r="F41" i="10" s="1"/>
  <c r="E53" i="10"/>
  <c r="F53" i="10" s="1"/>
  <c r="E60" i="10"/>
  <c r="F58" i="10"/>
  <c r="F63" i="10"/>
  <c r="E67" i="10"/>
  <c r="E55" i="10" l="1"/>
  <c r="F55" i="10" s="1"/>
  <c r="F67" i="10"/>
  <c r="E68" i="10" l="1"/>
  <c r="E72" i="10" s="1"/>
  <c r="E73" i="10" s="1"/>
  <c r="F76" i="10" s="1"/>
  <c r="F60" i="10"/>
  <c r="F59" i="10"/>
  <c r="F75" i="10" l="1"/>
  <c r="F74" i="10"/>
  <c r="F68" i="10"/>
  <c r="F63" i="11"/>
  <c r="E67" i="11"/>
  <c r="E68" i="11" s="1"/>
  <c r="E72" i="11" s="1"/>
  <c r="F68" i="11" l="1"/>
  <c r="E73" i="11"/>
  <c r="F67" i="11"/>
  <c r="F75" i="11" l="1"/>
  <c r="F74" i="11"/>
  <c r="F76" i="11"/>
</calcChain>
</file>

<file path=xl/comments1.xml><?xml version="1.0" encoding="utf-8"?>
<comments xmlns="http://schemas.openxmlformats.org/spreadsheetml/2006/main">
  <authors>
    <author>Sabina Jurek</author>
  </authors>
  <commentLis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Sabina Jurek:
 USTALENIE  ZAMAWIANYCH POZYCJI
</t>
        </r>
        <r>
          <rPr>
            <sz val="9"/>
            <color indexed="81"/>
            <rFont val="Tahoma"/>
            <family val="2"/>
            <charset val="238"/>
          </rPr>
          <t xml:space="preserve">Proszę kliknąć w filtr w tym polu
a następnie:
1. Wybrać opcję: Zaznacz wszystko
2. </t>
        </r>
        <r>
          <rPr>
            <b/>
            <sz val="9"/>
            <color indexed="81"/>
            <rFont val="Tahoma"/>
            <family val="2"/>
            <charset val="238"/>
          </rPr>
          <t xml:space="preserve">Ustawiamy odpowiednie wartości </t>
        </r>
        <r>
          <rPr>
            <b/>
            <sz val="9"/>
            <color indexed="10"/>
            <rFont val="Tahoma"/>
            <family val="2"/>
            <charset val="238"/>
          </rPr>
          <t>tylko na konfigurowalnych (żółtych) polach</t>
        </r>
        <r>
          <rPr>
            <sz val="9"/>
            <color indexed="81"/>
            <rFont val="Tahoma"/>
            <family val="2"/>
            <charset val="238"/>
          </rPr>
          <t xml:space="preserve">
3. Po ustawieniu konkretnych wartości klikamy ponownie w filtr i wybieramy opcję 1 (tylko)
4. W efekcie otrzymujemy zwartą tabelkę do wklejenia do oferty dla klienta</t>
        </r>
      </text>
    </comment>
  </commentList>
</comments>
</file>

<file path=xl/comments2.xml><?xml version="1.0" encoding="utf-8"?>
<comments xmlns="http://schemas.openxmlformats.org/spreadsheetml/2006/main">
  <authors>
    <author>Sabina Jurek</author>
  </authors>
  <commentLis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Sabina Jurek:</t>
        </r>
        <r>
          <rPr>
            <sz val="9"/>
            <color indexed="81"/>
            <rFont val="Tahoma"/>
            <family val="2"/>
            <charset val="238"/>
          </rPr>
          <t xml:space="preserve">
 </t>
        </r>
        <r>
          <rPr>
            <b/>
            <sz val="9"/>
            <color indexed="81"/>
            <rFont val="Tahoma"/>
            <family val="2"/>
            <charset val="238"/>
          </rPr>
          <t>USTALENIE  ZAMAWIANYCH POZYCJI</t>
        </r>
        <r>
          <rPr>
            <sz val="9"/>
            <color indexed="81"/>
            <rFont val="Tahoma"/>
            <family val="2"/>
            <charset val="238"/>
          </rPr>
          <t xml:space="preserve">
Proszę kliknąć w filtr w tym polu
a następnie:
1. Wybrać opcję: Zaznacz wszystko
2. </t>
        </r>
        <r>
          <rPr>
            <b/>
            <sz val="9"/>
            <color indexed="81"/>
            <rFont val="Tahoma"/>
            <family val="2"/>
            <charset val="238"/>
          </rPr>
          <t xml:space="preserve">Ustawiamy odpowiednie wartości </t>
        </r>
        <r>
          <rPr>
            <b/>
            <sz val="9"/>
            <color indexed="10"/>
            <rFont val="Tahoma"/>
            <family val="2"/>
            <charset val="238"/>
          </rPr>
          <t>tylko na konfigurowalnych (żółtych) polach</t>
        </r>
        <r>
          <rPr>
            <sz val="9"/>
            <color indexed="81"/>
            <rFont val="Tahoma"/>
            <family val="2"/>
            <charset val="238"/>
          </rPr>
          <t xml:space="preserve">
3. Po ustawieniu konkretnych wartości klikamy ponownie w filtr i wybieramy opcję 1 (tylko)
4. W efekcie otrzymujemy zwartą tabelkę do wklejenia do oferty dla klienta</t>
        </r>
      </text>
    </comment>
  </commentList>
</comments>
</file>

<file path=xl/sharedStrings.xml><?xml version="1.0" encoding="utf-8"?>
<sst xmlns="http://schemas.openxmlformats.org/spreadsheetml/2006/main" count="446" uniqueCount="145">
  <si>
    <t>srebro</t>
  </si>
  <si>
    <t>TAK</t>
  </si>
  <si>
    <t>złoto</t>
  </si>
  <si>
    <t>NIE</t>
  </si>
  <si>
    <t>platyna</t>
  </si>
  <si>
    <t>Moduły  dodatkowe</t>
  </si>
  <si>
    <t>1…5 tabela -&gt; za 1 szt.</t>
  </si>
  <si>
    <t>Moduł</t>
  </si>
  <si>
    <t>Wartość [netto]</t>
  </si>
  <si>
    <t>MODUŁY PODSTAWOWE</t>
  </si>
  <si>
    <t>SUMA MODUŁY PODSTAWOWE</t>
  </si>
  <si>
    <t>SUMA MODUŁY DODATKOWE</t>
  </si>
  <si>
    <t>SUMA MODUŁY ZEWNĘTRZNE</t>
  </si>
  <si>
    <t xml:space="preserve">1...5 tabela </t>
  </si>
  <si>
    <t>6...15 tabela</t>
  </si>
  <si>
    <t>Kliknij w filtr</t>
  </si>
  <si>
    <t xml:space="preserve"> </t>
  </si>
  <si>
    <t>enova365 Pulpit Kierownika</t>
  </si>
  <si>
    <t>Ilość/Zakres</t>
  </si>
  <si>
    <t>TABELE DODATKOWE - ZŁOTO do maks. 15 tabel</t>
  </si>
  <si>
    <t>enova365 Pulpity</t>
  </si>
  <si>
    <t>SUMA enova365 Pulpity</t>
  </si>
  <si>
    <t>enova 365 Kadry Płace</t>
  </si>
  <si>
    <t>enova 365 Księga Podatkowa</t>
  </si>
  <si>
    <t>enova 365 Księga Inwentarzowa</t>
  </si>
  <si>
    <t>enova 365 Księga Handlowa</t>
  </si>
  <si>
    <t>enova 365 Faktury</t>
  </si>
  <si>
    <t>enova 365 Handel</t>
  </si>
  <si>
    <t>enova 365 Produkcja</t>
  </si>
  <si>
    <t>enova 365 CRM</t>
  </si>
  <si>
    <t>enova 365 Serwis</t>
  </si>
  <si>
    <t>enova 365 Szkolenia</t>
  </si>
  <si>
    <t>enova 365 Wypożyczalnia</t>
  </si>
  <si>
    <t>enova 365 Członkowie</t>
  </si>
  <si>
    <t>enova 365 Workflow</t>
  </si>
  <si>
    <t>enova 365 Projekty</t>
  </si>
  <si>
    <t>enova 365 Podgląd</t>
  </si>
  <si>
    <t>enova 365 Preliminarz EŚP</t>
  </si>
  <si>
    <t>enova 365 Delegacje Służbowe</t>
  </si>
  <si>
    <t>enova 365 Opis Analityczny Aktywacja</t>
  </si>
  <si>
    <t>Moduły  podstawowe</t>
  </si>
  <si>
    <t>enova365 Jednostki Budżetowe</t>
  </si>
  <si>
    <t>enova365 Elektroniczne Wyciągi Bankowe</t>
  </si>
  <si>
    <t>enova365 Wirtualne Rachunki Bankowe</t>
  </si>
  <si>
    <t>enova365 Importy Księgowe</t>
  </si>
  <si>
    <t>enova365 Eksporty Księgowe</t>
  </si>
  <si>
    <t>enova365 Pracownicy Uczelni</t>
  </si>
  <si>
    <t>enova365 Pracownicy Koszty Projektów</t>
  </si>
  <si>
    <r>
      <t>enova365 Zarządzanie Odzieżą Roboczą (wyposażenie pracownika)</t>
    </r>
    <r>
      <rPr>
        <sz val="8"/>
        <color rgb="FF404040"/>
        <rFont val="Arial"/>
        <family val="2"/>
        <charset val="238"/>
      </rPr>
      <t> </t>
    </r>
  </si>
  <si>
    <t>enova365 SMS</t>
  </si>
  <si>
    <t>enova365 EDI</t>
  </si>
  <si>
    <t>enova365 Harmonogram Zadań</t>
  </si>
  <si>
    <t>Kolor</t>
  </si>
  <si>
    <t>enova365 Pulpit Pracownika</t>
  </si>
  <si>
    <t>Opcja</t>
  </si>
  <si>
    <t>Tabele 1-5</t>
  </si>
  <si>
    <t>Tabele 6-15</t>
  </si>
  <si>
    <t>WERSJA  1-BAZOWA</t>
  </si>
  <si>
    <t>RAZEM enova365</t>
  </si>
  <si>
    <t>enova365 e-mail</t>
  </si>
  <si>
    <t>enova365 Pulpit Kontrahenta</t>
  </si>
  <si>
    <t>enova365 Workflow w Pulpitach</t>
  </si>
  <si>
    <t>MODUŁY DODATKOWE - w licencji platynowej bezpłatne</t>
  </si>
  <si>
    <t>Kalkulator jest materiałem pomocniczym przy szacowaniu zamówienia,</t>
  </si>
  <si>
    <t>Partner jest odpowiedzialny za przedstawioną Klientowi Ofertę</t>
  </si>
  <si>
    <t>i powinien każdorazowo sprawdzić zgodność cen z aktualnym cennikiem.</t>
  </si>
  <si>
    <t>Cena stanowiska multi [netto zł]</t>
  </si>
  <si>
    <t>enova 365 DMS</t>
  </si>
  <si>
    <t>enova 365 Konfigurator Workflow i DMS</t>
  </si>
  <si>
    <t>enova 365 Ewidencja Środków Pieniężnych dodatkowe stanowisko</t>
  </si>
  <si>
    <t>enova365 BI</t>
  </si>
  <si>
    <t>BI</t>
  </si>
  <si>
    <t>SUMA BI</t>
  </si>
  <si>
    <t>enova365 Widykacja</t>
  </si>
  <si>
    <t>enova365 Integrator</t>
  </si>
  <si>
    <t>enova365 Edycja kalendarza w Pulpicie Pracownika</t>
  </si>
  <si>
    <t>enova365 Zarządzanie Odzieżą Roboczą (wyposażenie pracownika) </t>
  </si>
  <si>
    <t>enova 365 Przedstawiciel Handlowy</t>
  </si>
  <si>
    <t xml:space="preserve">enova365 Pracownicy Eksportowi </t>
  </si>
  <si>
    <t>enova365 Pracownicy Prokuratury</t>
  </si>
  <si>
    <t>enova365 Rozrachunki Funduszy Pożyczkowych</t>
  </si>
  <si>
    <t>enova365 Czas Pracy</t>
  </si>
  <si>
    <t>Wartość dla Klienta netto</t>
  </si>
  <si>
    <t>Wartość dla Klienta brutto (z VAT 23%)</t>
  </si>
  <si>
    <t>enova365 Kadry Płace</t>
  </si>
  <si>
    <t>enova365 Księga Podatkowa</t>
  </si>
  <si>
    <t>enova365 Księga Handlowa</t>
  </si>
  <si>
    <t>enova365 Księga Inwentarzowa</t>
  </si>
  <si>
    <t>enova365 Ewidencja Środków Pieniężnych dodatkowe stanowisko</t>
  </si>
  <si>
    <t>enova365 Faktury</t>
  </si>
  <si>
    <t>enova365 Handel</t>
  </si>
  <si>
    <t>enova365 Przedstawiciel Handlowy</t>
  </si>
  <si>
    <t>enova365 Produkcja</t>
  </si>
  <si>
    <t>enova365 CRM</t>
  </si>
  <si>
    <t>enova365 Serwis</t>
  </si>
  <si>
    <t>enova365 Szkolenia</t>
  </si>
  <si>
    <t>enova365 Wypożyczalnia</t>
  </si>
  <si>
    <t>enova365 Członkowie</t>
  </si>
  <si>
    <t>enova365 Projekty</t>
  </si>
  <si>
    <t>enova365 Workflow</t>
  </si>
  <si>
    <t>enova365 DMS</t>
  </si>
  <si>
    <t>enova365 Konfigurator Workflow i DMS</t>
  </si>
  <si>
    <t>enova365 Podgląd</t>
  </si>
  <si>
    <t>enova365 Preliminarz EŚP</t>
  </si>
  <si>
    <t>enova365 Delegacje Służbowe</t>
  </si>
  <si>
    <t>enova365 Opis Analityczny Aktywacja</t>
  </si>
  <si>
    <t>enova365 e-Sklepy Konektor</t>
  </si>
  <si>
    <t>miesięczny</t>
  </si>
  <si>
    <t>roczny</t>
  </si>
  <si>
    <t xml:space="preserve">miesięczny </t>
  </si>
  <si>
    <t>enova365 BI na firmę</t>
  </si>
  <si>
    <t>6…15 tabela -&gt; za 1 szt.</t>
  </si>
  <si>
    <t xml:space="preserve">baza </t>
  </si>
  <si>
    <t>typ 3</t>
  </si>
  <si>
    <t>typ 2</t>
  </si>
  <si>
    <t>typ 1</t>
  </si>
  <si>
    <t>abonament miesięczny za jednego użytkownika w danym typie bazy</t>
  </si>
  <si>
    <t>abonament roczny za jednego użytkownika w danym typie bazy</t>
  </si>
  <si>
    <t>minimalna liczba użytkowników w bazie danego typu</t>
  </si>
  <si>
    <t>Koszt infrastruktury na Platformie Microsoft Azure</t>
  </si>
  <si>
    <t>TYP 1</t>
  </si>
  <si>
    <t>TYP 2</t>
  </si>
  <si>
    <t>TYP 3</t>
  </si>
  <si>
    <t xml:space="preserve">roczny </t>
  </si>
  <si>
    <t>x</t>
  </si>
  <si>
    <t>enova365 BI na obszar Kadrowo-Płacowy</t>
  </si>
  <si>
    <t>enova365 BI na obszar Księgowy</t>
  </si>
  <si>
    <t>enova365 BI na obszar Handlowy</t>
  </si>
  <si>
    <t>enova365 BI na obszar CRM</t>
  </si>
  <si>
    <t>RAZEM Koszt infrastruktury na Platformie Microsoft Azure</t>
  </si>
  <si>
    <t>Liczba stanowisk MULTI</t>
  </si>
  <si>
    <t>liczba</t>
  </si>
  <si>
    <r>
      <t xml:space="preserve">Dostęp do bazy 
</t>
    </r>
    <r>
      <rPr>
        <b/>
        <sz val="12"/>
        <color rgb="FFFF0000"/>
        <rFont val="Calibri Light"/>
        <family val="2"/>
        <charset val="238"/>
      </rPr>
      <t xml:space="preserve">dla użytkowników modułów podstawowych </t>
    </r>
  </si>
  <si>
    <t>enova365 Windykacja</t>
  </si>
  <si>
    <t>moduły, które działają samodzielnie,
każdy z nich zawiera w sobie dostęp do:
- Ewidencji Środków Pieniężnych
- Ewidencji Dokumentów
- lista Kontrahenci i Urzędy</t>
  </si>
  <si>
    <r>
      <t xml:space="preserve">Dostęp do bazy 
</t>
    </r>
    <r>
      <rPr>
        <b/>
        <sz val="12"/>
        <color rgb="FFFF0000"/>
        <rFont val="Calibri Light"/>
        <family val="2"/>
        <charset val="238"/>
      </rPr>
      <t>dla użytkowników Pulpitów*</t>
    </r>
  </si>
  <si>
    <r>
      <t xml:space="preserve">*specyfika pracy użytkowników Pulpitowych różni się od użytkowników modułu podstawowego, gdyż najczęściej logują się oni raz na jakiś czas żeby np. złożyć wniosek, 
co za tym idzie w mniejszym stopniu "zużywają" zasoby infrastruktury, 
przy wycenie przyjmujemy założenie, że 5 użytkowników Pulpitu wykorzystuje zasoby infrastrukturalne w takim samym stopniu jak 1 użytkownik modułu podstawowego,
ale UWAGA! jeżeli przez Pulpit Pracownika realizowane jest więcej zadań i częstotliwość logowania użytkowników Pulpitu jest wyższa, może się okazać konieczne zwiększenie liczby dostępów.
</t>
    </r>
    <r>
      <rPr>
        <b/>
        <u/>
        <sz val="11"/>
        <color rgb="FFFF0000"/>
        <rFont val="Calibri Light"/>
        <family val="2"/>
        <charset val="238"/>
      </rPr>
      <t xml:space="preserve">
UWAGA! w przypadku Klientów, którzy mają bardzo duże przedziały w Pulpitach oferta musi być skalkulowana indywidualne, prosimy o kontakt ze swoim opiekunem.</t>
    </r>
  </si>
  <si>
    <t>do 50 kont</t>
  </si>
  <si>
    <t>do 100 kont</t>
  </si>
  <si>
    <t>do 200 kont</t>
  </si>
  <si>
    <t>do 500 kont</t>
  </si>
  <si>
    <t>do 1000 kont</t>
  </si>
  <si>
    <t>powyżej 1000 kont</t>
  </si>
  <si>
    <t>enova365 Eksporty Dekretów List Płac</t>
  </si>
  <si>
    <t>enova365 Kurierzy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</si>
</sst>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&quot;zł&quot;* #,##0.00_);_(&quot;zł&quot;* \(#,##0.00\);_(&quot;zł&quot;* &quot;-&quot;??_);_(@_)"/>
    <numFmt numFmtId="166" formatCode="#,##0.00\ &quot;zł&quot;"/>
    <numFmt numFmtId="167" formatCode="_-* #,##0.0000\ _z_ł_-;\-* #,##0.0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8"/>
      <color rgb="FF40404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0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sz val="12"/>
      <color theme="0"/>
      <name val="Calibri Light"/>
      <family val="2"/>
      <charset val="238"/>
    </font>
    <font>
      <sz val="11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sz val="12"/>
      <name val="Calibri Light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rgb="FFFF0000"/>
      <name val="Calibri Light"/>
      <family val="2"/>
      <charset val="238"/>
    </font>
    <font>
      <b/>
      <sz val="12"/>
      <color rgb="FF76933C"/>
      <name val="Calibri Light"/>
      <family val="2"/>
      <charset val="238"/>
    </font>
    <font>
      <b/>
      <sz val="12"/>
      <color theme="6" tint="-0.249977111117893"/>
      <name val="Calibri Light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rgb="FFFF0000"/>
      <name val="Calibri Light"/>
      <family val="2"/>
      <charset val="238"/>
    </font>
    <font>
      <b/>
      <u/>
      <sz val="11"/>
      <color rgb="FFFF0000"/>
      <name val="Calibri Light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DF8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8E4B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0" fillId="0" borderId="3" xfId="0" applyFill="1" applyBorder="1"/>
    <xf numFmtId="0" fontId="0" fillId="0" borderId="5" xfId="0" applyFill="1" applyBorder="1"/>
    <xf numFmtId="0" fontId="1" fillId="4" borderId="1" xfId="0" applyFont="1" applyFill="1" applyBorder="1"/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Fill="1" applyBorder="1"/>
    <xf numFmtId="3" fontId="0" fillId="0" borderId="4" xfId="0" applyNumberFormat="1" applyBorder="1"/>
    <xf numFmtId="3" fontId="0" fillId="0" borderId="6" xfId="0" applyNumberFormat="1" applyBorder="1"/>
    <xf numFmtId="3" fontId="0" fillId="0" borderId="0" xfId="0" applyNumberFormat="1" applyBorder="1"/>
    <xf numFmtId="0" fontId="1" fillId="4" borderId="21" xfId="0" applyFont="1" applyFill="1" applyBorder="1"/>
    <xf numFmtId="0" fontId="1" fillId="5" borderId="0" xfId="0" applyFont="1" applyFill="1"/>
    <xf numFmtId="0" fontId="1" fillId="8" borderId="0" xfId="0" applyFont="1" applyFill="1"/>
    <xf numFmtId="0" fontId="1" fillId="8" borderId="0" xfId="0" applyFont="1" applyFill="1" applyBorder="1"/>
    <xf numFmtId="0" fontId="6" fillId="10" borderId="12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166" fontId="6" fillId="10" borderId="13" xfId="0" applyNumberFormat="1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/>
    </xf>
    <xf numFmtId="166" fontId="8" fillId="10" borderId="10" xfId="0" applyNumberFormat="1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/>
    </xf>
    <xf numFmtId="0" fontId="9" fillId="0" borderId="0" xfId="0" applyFont="1"/>
    <xf numFmtId="0" fontId="10" fillId="11" borderId="18" xfId="0" applyFont="1" applyFill="1" applyBorder="1" applyAlignment="1">
      <alignment horizontal="center"/>
    </xf>
    <xf numFmtId="4" fontId="10" fillId="7" borderId="7" xfId="0" applyNumberFormat="1" applyFont="1" applyFill="1" applyBorder="1"/>
    <xf numFmtId="0" fontId="10" fillId="11" borderId="7" xfId="0" applyFont="1" applyFill="1" applyBorder="1" applyAlignment="1">
      <alignment horizontal="center"/>
    </xf>
    <xf numFmtId="4" fontId="10" fillId="7" borderId="9" xfId="0" applyNumberFormat="1" applyFont="1" applyFill="1" applyBorder="1"/>
    <xf numFmtId="4" fontId="10" fillId="7" borderId="7" xfId="0" applyNumberFormat="1" applyFont="1" applyFill="1" applyBorder="1" applyAlignment="1">
      <alignment horizontal="center"/>
    </xf>
    <xf numFmtId="4" fontId="7" fillId="12" borderId="9" xfId="0" applyNumberFormat="1" applyFont="1" applyFill="1" applyBorder="1"/>
    <xf numFmtId="0" fontId="10" fillId="10" borderId="7" xfId="0" applyFont="1" applyFill="1" applyBorder="1"/>
    <xf numFmtId="0" fontId="10" fillId="10" borderId="7" xfId="0" applyFont="1" applyFill="1" applyBorder="1" applyAlignment="1">
      <alignment horizontal="center"/>
    </xf>
    <xf numFmtId="4" fontId="10" fillId="10" borderId="9" xfId="0" applyNumberFormat="1" applyFont="1" applyFill="1" applyBorder="1"/>
    <xf numFmtId="0" fontId="10" fillId="11" borderId="19" xfId="0" applyFont="1" applyFill="1" applyBorder="1" applyAlignment="1">
      <alignment horizontal="center"/>
    </xf>
    <xf numFmtId="0" fontId="7" fillId="12" borderId="8" xfId="0" applyFont="1" applyFill="1" applyBorder="1" applyAlignment="1">
      <alignment horizontal="center"/>
    </xf>
    <xf numFmtId="0" fontId="7" fillId="12" borderId="7" xfId="0" applyFont="1" applyFill="1" applyBorder="1"/>
    <xf numFmtId="4" fontId="7" fillId="12" borderId="7" xfId="0" applyNumberFormat="1" applyFont="1" applyFill="1" applyBorder="1"/>
    <xf numFmtId="0" fontId="7" fillId="12" borderId="7" xfId="0" applyFont="1" applyFill="1" applyBorder="1" applyAlignment="1">
      <alignment horizontal="center"/>
    </xf>
    <xf numFmtId="4" fontId="10" fillId="10" borderId="7" xfId="0" applyNumberFormat="1" applyFont="1" applyFill="1" applyBorder="1"/>
    <xf numFmtId="0" fontId="10" fillId="7" borderId="8" xfId="0" applyFont="1" applyFill="1" applyBorder="1" applyAlignment="1">
      <alignment horizontal="center" vertical="center"/>
    </xf>
    <xf numFmtId="0" fontId="10" fillId="7" borderId="7" xfId="0" applyFont="1" applyFill="1" applyBorder="1"/>
    <xf numFmtId="0" fontId="10" fillId="7" borderId="7" xfId="0" applyFont="1" applyFill="1" applyBorder="1" applyAlignment="1">
      <alignment horizontal="center"/>
    </xf>
    <xf numFmtId="0" fontId="10" fillId="7" borderId="8" xfId="0" applyFont="1" applyFill="1" applyBorder="1"/>
    <xf numFmtId="0" fontId="7" fillId="2" borderId="7" xfId="0" applyFont="1" applyFill="1" applyBorder="1"/>
    <xf numFmtId="4" fontId="7" fillId="2" borderId="7" xfId="0" applyNumberFormat="1" applyFont="1" applyFill="1" applyBorder="1"/>
    <xf numFmtId="4" fontId="7" fillId="2" borderId="9" xfId="0" applyNumberFormat="1" applyFont="1" applyFill="1" applyBorder="1"/>
    <xf numFmtId="0" fontId="7" fillId="6" borderId="8" xfId="0" applyFont="1" applyFill="1" applyBorder="1" applyAlignment="1">
      <alignment horizontal="center"/>
    </xf>
    <xf numFmtId="0" fontId="7" fillId="6" borderId="15" xfId="0" applyFont="1" applyFill="1" applyBorder="1"/>
    <xf numFmtId="4" fontId="7" fillId="6" borderId="16" xfId="0" applyNumberFormat="1" applyFont="1" applyFill="1" applyBorder="1"/>
    <xf numFmtId="0" fontId="9" fillId="0" borderId="0" xfId="0" applyFont="1" applyBorder="1"/>
    <xf numFmtId="0" fontId="7" fillId="13" borderId="12" xfId="0" applyFont="1" applyFill="1" applyBorder="1"/>
    <xf numFmtId="0" fontId="11" fillId="13" borderId="12" xfId="0" applyFont="1" applyFill="1" applyBorder="1"/>
    <xf numFmtId="0" fontId="11" fillId="13" borderId="13" xfId="0" applyFont="1" applyFill="1" applyBorder="1"/>
    <xf numFmtId="4" fontId="11" fillId="13" borderId="14" xfId="0" applyNumberFormat="1" applyFont="1" applyFill="1" applyBorder="1"/>
    <xf numFmtId="4" fontId="10" fillId="7" borderId="8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/>
    </xf>
    <xf numFmtId="0" fontId="10" fillId="0" borderId="0" xfId="0" applyFont="1"/>
    <xf numFmtId="164" fontId="7" fillId="0" borderId="0" xfId="3" applyFont="1"/>
    <xf numFmtId="0" fontId="7" fillId="2" borderId="8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vertical="center"/>
    </xf>
    <xf numFmtId="164" fontId="10" fillId="0" borderId="0" xfId="3" applyFont="1" applyAlignment="1">
      <alignment horizontal="left"/>
    </xf>
    <xf numFmtId="0" fontId="10" fillId="0" borderId="0" xfId="0" applyFont="1" applyAlignment="1">
      <alignment horizontal="left"/>
    </xf>
    <xf numFmtId="0" fontId="11" fillId="12" borderId="8" xfId="0" applyFont="1" applyFill="1" applyBorder="1" applyAlignment="1">
      <alignment horizontal="center"/>
    </xf>
    <xf numFmtId="0" fontId="10" fillId="12" borderId="10" xfId="0" applyFont="1" applyFill="1" applyBorder="1"/>
    <xf numFmtId="4" fontId="10" fillId="12" borderId="7" xfId="0" applyNumberFormat="1" applyFont="1" applyFill="1" applyBorder="1"/>
    <xf numFmtId="0" fontId="10" fillId="12" borderId="7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 vertical="center"/>
    </xf>
    <xf numFmtId="164" fontId="10" fillId="0" borderId="0" xfId="3" applyFont="1"/>
    <xf numFmtId="164" fontId="10" fillId="0" borderId="0" xfId="3" applyFont="1" applyFill="1"/>
    <xf numFmtId="0" fontId="10" fillId="11" borderId="7" xfId="0" applyFont="1" applyFill="1" applyBorder="1" applyAlignment="1">
      <alignment horizontal="center" wrapText="1"/>
    </xf>
    <xf numFmtId="0" fontId="10" fillId="13" borderId="13" xfId="0" applyFont="1" applyFill="1" applyBorder="1"/>
    <xf numFmtId="4" fontId="7" fillId="13" borderId="14" xfId="0" applyNumberFormat="1" applyFont="1" applyFill="1" applyBorder="1"/>
    <xf numFmtId="4" fontId="0" fillId="0" borderId="0" xfId="0" applyNumberFormat="1"/>
    <xf numFmtId="0" fontId="0" fillId="0" borderId="1" xfId="0" applyBorder="1"/>
    <xf numFmtId="0" fontId="10" fillId="9" borderId="18" xfId="0" applyFont="1" applyFill="1" applyBorder="1" applyAlignment="1">
      <alignment horizontal="center"/>
    </xf>
    <xf numFmtId="0" fontId="1" fillId="0" borderId="0" xfId="0" applyFont="1"/>
    <xf numFmtId="0" fontId="9" fillId="0" borderId="0" xfId="0" applyFont="1" applyFill="1" applyBorder="1"/>
    <xf numFmtId="4" fontId="9" fillId="0" borderId="0" xfId="0" applyNumberFormat="1" applyFont="1" applyFill="1" applyBorder="1"/>
    <xf numFmtId="0" fontId="10" fillId="0" borderId="0" xfId="0" applyFont="1" applyFill="1" applyBorder="1"/>
    <xf numFmtId="164" fontId="10" fillId="0" borderId="0" xfId="3" applyFont="1" applyFill="1" applyBorder="1"/>
    <xf numFmtId="164" fontId="10" fillId="0" borderId="0" xfId="0" applyNumberFormat="1" applyFont="1" applyFill="1" applyBorder="1"/>
    <xf numFmtId="4" fontId="7" fillId="0" borderId="0" xfId="0" applyNumberFormat="1" applyFont="1" applyFill="1" applyBorder="1"/>
    <xf numFmtId="4" fontId="10" fillId="0" borderId="0" xfId="0" applyNumberFormat="1" applyFont="1" applyFill="1" applyBorder="1"/>
    <xf numFmtId="0" fontId="7" fillId="0" borderId="0" xfId="0" applyFont="1" applyFill="1" applyBorder="1"/>
    <xf numFmtId="167" fontId="10" fillId="0" borderId="0" xfId="0" applyNumberFormat="1" applyFont="1" applyFill="1" applyBorder="1"/>
    <xf numFmtId="4" fontId="10" fillId="7" borderId="8" xfId="0" applyNumberFormat="1" applyFont="1" applyFill="1" applyBorder="1" applyAlignment="1">
      <alignment wrapText="1"/>
    </xf>
    <xf numFmtId="4" fontId="7" fillId="10" borderId="9" xfId="0" applyNumberFormat="1" applyFont="1" applyFill="1" applyBorder="1"/>
    <xf numFmtId="0" fontId="6" fillId="10" borderId="8" xfId="0" applyFont="1" applyFill="1" applyBorder="1" applyAlignment="1">
      <alignment horizontal="center"/>
    </xf>
    <xf numFmtId="0" fontId="0" fillId="4" borderId="1" xfId="0" applyFill="1" applyBorder="1"/>
    <xf numFmtId="0" fontId="10" fillId="12" borderId="7" xfId="0" applyFont="1" applyFill="1" applyBorder="1"/>
    <xf numFmtId="0" fontId="6" fillId="10" borderId="7" xfId="0" applyFont="1" applyFill="1" applyBorder="1" applyAlignment="1">
      <alignment horizontal="center"/>
    </xf>
    <xf numFmtId="0" fontId="10" fillId="7" borderId="20" xfId="0" applyFont="1" applyFill="1" applyBorder="1"/>
    <xf numFmtId="4" fontId="10" fillId="0" borderId="3" xfId="0" applyNumberFormat="1" applyFont="1" applyFill="1" applyBorder="1" applyAlignment="1">
      <alignment wrapText="1"/>
    </xf>
    <xf numFmtId="0" fontId="0" fillId="0" borderId="21" xfId="0" applyFill="1" applyBorder="1"/>
    <xf numFmtId="0" fontId="9" fillId="0" borderId="24" xfId="0" applyFont="1" applyBorder="1"/>
    <xf numFmtId="0" fontId="1" fillId="3" borderId="22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1" fillId="0" borderId="22" xfId="0" applyFont="1" applyBorder="1" applyAlignment="1">
      <alignment horizontal="center"/>
    </xf>
    <xf numFmtId="3" fontId="3" fillId="0" borderId="4" xfId="0" applyNumberFormat="1" applyFont="1" applyFill="1" applyBorder="1" applyAlignment="1">
      <alignment horizontal="right"/>
    </xf>
    <xf numFmtId="0" fontId="0" fillId="0" borderId="28" xfId="0" applyBorder="1"/>
    <xf numFmtId="3" fontId="0" fillId="0" borderId="27" xfId="0" applyNumberFormat="1" applyBorder="1"/>
    <xf numFmtId="3" fontId="0" fillId="0" borderId="26" xfId="0" applyNumberFormat="1" applyBorder="1"/>
    <xf numFmtId="0" fontId="12" fillId="14" borderId="1" xfId="0" applyFont="1" applyFill="1" applyBorder="1"/>
    <xf numFmtId="0" fontId="0" fillId="14" borderId="3" xfId="0" applyFill="1" applyBorder="1"/>
    <xf numFmtId="0" fontId="0" fillId="0" borderId="3" xfId="0" applyBorder="1" applyAlignment="1">
      <alignment wrapText="1"/>
    </xf>
    <xf numFmtId="0" fontId="0" fillId="0" borderId="2" xfId="0" applyBorder="1"/>
    <xf numFmtId="0" fontId="0" fillId="14" borderId="27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4" xfId="0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10" fillId="0" borderId="26" xfId="0" applyNumberFormat="1" applyFont="1" applyFill="1" applyBorder="1" applyAlignment="1">
      <alignment horizontal="right" wrapText="1"/>
    </xf>
    <xf numFmtId="0" fontId="0" fillId="0" borderId="30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9" xfId="0" applyBorder="1"/>
    <xf numFmtId="0" fontId="12" fillId="14" borderId="28" xfId="0" applyFont="1" applyFill="1" applyBorder="1"/>
    <xf numFmtId="0" fontId="0" fillId="14" borderId="6" xfId="0" applyFill="1" applyBorder="1" applyAlignment="1">
      <alignment horizontal="center"/>
    </xf>
    <xf numFmtId="0" fontId="12" fillId="14" borderId="29" xfId="0" applyFont="1" applyFill="1" applyBorder="1"/>
    <xf numFmtId="0" fontId="0" fillId="3" borderId="22" xfId="0" applyFill="1" applyBorder="1"/>
    <xf numFmtId="0" fontId="0" fillId="6" borderId="29" xfId="0" applyFill="1" applyBorder="1" applyAlignment="1">
      <alignment horizontal="center"/>
    </xf>
    <xf numFmtId="0" fontId="0" fillId="12" borderId="29" xfId="0" applyFill="1" applyBorder="1"/>
    <xf numFmtId="0" fontId="0" fillId="12" borderId="21" xfId="0" applyFill="1" applyBorder="1"/>
    <xf numFmtId="0" fontId="1" fillId="2" borderId="29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 wrapText="1"/>
    </xf>
    <xf numFmtId="0" fontId="7" fillId="6" borderId="15" xfId="0" applyFont="1" applyFill="1" applyBorder="1" applyAlignment="1">
      <alignment wrapText="1"/>
    </xf>
    <xf numFmtId="4" fontId="7" fillId="6" borderId="16" xfId="0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164" fontId="7" fillId="0" borderId="0" xfId="3" applyFont="1" applyAlignment="1">
      <alignment wrapText="1"/>
    </xf>
    <xf numFmtId="164" fontId="10" fillId="0" borderId="0" xfId="3" applyFont="1" applyAlignment="1">
      <alignment wrapText="1"/>
    </xf>
    <xf numFmtId="0" fontId="10" fillId="7" borderId="8" xfId="0" applyFont="1" applyFill="1" applyBorder="1" applyAlignment="1">
      <alignment wrapText="1"/>
    </xf>
    <xf numFmtId="4" fontId="10" fillId="7" borderId="16" xfId="0" applyNumberFormat="1" applyFont="1" applyFill="1" applyBorder="1"/>
    <xf numFmtId="4" fontId="10" fillId="7" borderId="18" xfId="0" applyNumberFormat="1" applyFont="1" applyFill="1" applyBorder="1"/>
    <xf numFmtId="4" fontId="10" fillId="7" borderId="31" xfId="0" applyNumberFormat="1" applyFont="1" applyFill="1" applyBorder="1"/>
    <xf numFmtId="0" fontId="10" fillId="11" borderId="15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2" fontId="10" fillId="7" borderId="7" xfId="0" applyNumberFormat="1" applyFont="1" applyFill="1" applyBorder="1" applyAlignment="1">
      <alignment vertical="center"/>
    </xf>
    <xf numFmtId="2" fontId="10" fillId="7" borderId="15" xfId="0" applyNumberFormat="1" applyFont="1" applyFill="1" applyBorder="1" applyAlignment="1">
      <alignment vertical="center"/>
    </xf>
    <xf numFmtId="4" fontId="14" fillId="9" borderId="8" xfId="0" applyNumberFormat="1" applyFont="1" applyFill="1" applyBorder="1"/>
    <xf numFmtId="4" fontId="14" fillId="7" borderId="8" xfId="0" applyNumberFormat="1" applyFont="1" applyFill="1" applyBorder="1"/>
    <xf numFmtId="164" fontId="13" fillId="0" borderId="0" xfId="3" applyFont="1" applyAlignment="1">
      <alignment horizontal="left"/>
    </xf>
    <xf numFmtId="164" fontId="15" fillId="0" borderId="0" xfId="3" applyFont="1" applyAlignment="1">
      <alignment vertical="top" wrapText="1"/>
    </xf>
    <xf numFmtId="164" fontId="13" fillId="0" borderId="0" xfId="3" applyFont="1" applyAlignment="1">
      <alignment vertical="top" wrapText="1"/>
    </xf>
    <xf numFmtId="4" fontId="10" fillId="7" borderId="9" xfId="0" applyNumberFormat="1" applyFont="1" applyFill="1" applyBorder="1" applyAlignment="1">
      <alignment vertical="center"/>
    </xf>
    <xf numFmtId="0" fontId="15" fillId="0" borderId="0" xfId="0" applyFont="1"/>
    <xf numFmtId="164" fontId="15" fillId="0" borderId="0" xfId="3" applyFont="1" applyAlignment="1">
      <alignment wrapText="1"/>
    </xf>
    <xf numFmtId="0" fontId="19" fillId="0" borderId="0" xfId="0" applyFont="1" applyFill="1" applyBorder="1" applyAlignment="1">
      <alignment wrapText="1"/>
    </xf>
    <xf numFmtId="0" fontId="10" fillId="7" borderId="20" xfId="0" applyFont="1" applyFill="1" applyBorder="1" applyAlignment="1">
      <alignment horizontal="left"/>
    </xf>
    <xf numFmtId="0" fontId="10" fillId="7" borderId="18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6" fillId="10" borderId="20" xfId="0" applyFont="1" applyFill="1" applyBorder="1" applyAlignment="1">
      <alignment horizontal="left" vertical="center"/>
    </xf>
    <xf numFmtId="0" fontId="6" fillId="10" borderId="23" xfId="0" applyFont="1" applyFill="1" applyBorder="1" applyAlignment="1">
      <alignment horizontal="left" vertical="center"/>
    </xf>
    <xf numFmtId="0" fontId="10" fillId="7" borderId="20" xfId="0" applyFont="1" applyFill="1" applyBorder="1" applyAlignment="1">
      <alignment horizontal="left"/>
    </xf>
    <xf numFmtId="0" fontId="10" fillId="7" borderId="18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4">
    <cellStyle name="Dziesiętny" xfId="3" builtinId="3"/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colors>
    <mruColors>
      <color rgb="FFD8E4BC"/>
      <color rgb="FFD9D9D9"/>
      <color rgb="FF92CDDC"/>
      <color rgb="FFF2F2F2"/>
      <color rgb="FFFDF8A6"/>
      <color rgb="FFDAEEF3"/>
      <color rgb="FFFFFF66"/>
      <color rgb="FF008080"/>
      <color rgb="FF000080"/>
      <color rgb="FFE0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13"/>
  <sheetViews>
    <sheetView tabSelected="1" zoomScale="90" zoomScaleNormal="90" zoomScalePageLayoutView="90" workbookViewId="0">
      <selection activeCell="C66" sqref="C66"/>
    </sheetView>
  </sheetViews>
  <sheetFormatPr defaultColWidth="9.109375" defaultRowHeight="15.6" x14ac:dyDescent="0.3"/>
  <cols>
    <col min="1" max="1" width="44.88671875" style="62" customWidth="1"/>
    <col min="2" max="2" width="12.33203125" style="62" customWidth="1"/>
    <col min="3" max="3" width="18.33203125" style="62" customWidth="1"/>
    <col min="4" max="4" width="13.33203125" style="62" customWidth="1"/>
    <col min="5" max="5" width="18.88671875" style="62" customWidth="1"/>
    <col min="6" max="6" width="11.6640625" style="62" customWidth="1"/>
    <col min="7" max="7" width="9.109375" style="62"/>
    <col min="8" max="8" width="91.33203125" style="74" bestFit="1" customWidth="1"/>
    <col min="9" max="10" width="6.44140625" style="74" customWidth="1"/>
    <col min="11" max="11" width="6.44140625" style="62" customWidth="1"/>
    <col min="12" max="13" width="6.44140625" style="62" hidden="1" customWidth="1"/>
    <col min="14" max="14" width="6.44140625" style="62" customWidth="1"/>
    <col min="15" max="16384" width="9.109375" style="62"/>
  </cols>
  <sheetData>
    <row r="1" spans="1:15" ht="78" x14ac:dyDescent="0.3">
      <c r="A1" s="20" t="s">
        <v>7</v>
      </c>
      <c r="B1" s="21" t="s">
        <v>52</v>
      </c>
      <c r="C1" s="22" t="s">
        <v>66</v>
      </c>
      <c r="D1" s="23" t="s">
        <v>130</v>
      </c>
      <c r="E1" s="24" t="s">
        <v>8</v>
      </c>
      <c r="F1" s="60" t="s">
        <v>15</v>
      </c>
      <c r="H1" s="159" t="s">
        <v>134</v>
      </c>
      <c r="K1" s="11"/>
      <c r="L1" s="11"/>
      <c r="M1" s="11"/>
    </row>
    <row r="2" spans="1:15" x14ac:dyDescent="0.3">
      <c r="A2" s="65" t="s">
        <v>9</v>
      </c>
      <c r="B2" s="66"/>
      <c r="C2" s="25"/>
      <c r="D2" s="26"/>
      <c r="E2" s="27"/>
      <c r="F2" s="62">
        <f>IF(E26&gt;0,1,0)</f>
        <v>0</v>
      </c>
      <c r="K2" s="11"/>
      <c r="L2" s="11"/>
      <c r="M2" s="11"/>
    </row>
    <row r="3" spans="1:15" x14ac:dyDescent="0.3">
      <c r="A3" s="156" t="s">
        <v>22</v>
      </c>
      <c r="B3" s="29" t="s">
        <v>2</v>
      </c>
      <c r="C3" s="30">
        <f>IF(B3="srebro",'Cennik enova365'!B7,(IF(B3="złoto",'Cennik enova365'!C7,IF(B3= "platyna",'Cennik enova365'!D7))))</f>
        <v>175</v>
      </c>
      <c r="D3" s="31">
        <v>0</v>
      </c>
      <c r="E3" s="32">
        <f t="shared" ref="E3:E20" si="0">D3*C3</f>
        <v>0</v>
      </c>
      <c r="F3" s="62">
        <f t="shared" ref="F3:F37" si="1">IF(E3&gt;0,1,0)</f>
        <v>0</v>
      </c>
      <c r="H3" s="67"/>
      <c r="I3" s="67"/>
      <c r="J3" s="67"/>
      <c r="K3" s="11"/>
      <c r="L3" s="11">
        <f t="shared" ref="L3:L20" si="2">IF(AND(OR(B3="złoto",B3="srebro"),D3&gt;0),1,0)</f>
        <v>0</v>
      </c>
      <c r="M3" s="11"/>
      <c r="N3" s="68"/>
      <c r="O3" s="68"/>
    </row>
    <row r="4" spans="1:15" x14ac:dyDescent="0.3">
      <c r="A4" s="157" t="s">
        <v>23</v>
      </c>
      <c r="B4" s="29" t="s">
        <v>0</v>
      </c>
      <c r="C4" s="30">
        <f>IF(B4="srebro",'Cennik enova365'!B8,(IF(B4="złoto",'Cennik enova365'!C8,IF(B4= "platyna",'Cennik enova365'!D8))))</f>
        <v>28</v>
      </c>
      <c r="D4" s="31">
        <v>0</v>
      </c>
      <c r="E4" s="32">
        <f t="shared" si="0"/>
        <v>0</v>
      </c>
      <c r="F4" s="62">
        <f t="shared" si="1"/>
        <v>0</v>
      </c>
      <c r="H4" s="159"/>
      <c r="I4" s="67"/>
      <c r="J4" s="67"/>
      <c r="K4" s="11"/>
      <c r="L4" s="11">
        <f t="shared" si="2"/>
        <v>0</v>
      </c>
      <c r="M4" s="11"/>
      <c r="N4" s="68"/>
      <c r="O4" s="68"/>
    </row>
    <row r="5" spans="1:15" x14ac:dyDescent="0.3">
      <c r="A5" s="157" t="s">
        <v>25</v>
      </c>
      <c r="B5" s="29" t="s">
        <v>2</v>
      </c>
      <c r="C5" s="30">
        <f>IF(B5="srebro",'Cennik enova365'!B9,(IF(B5="złoto",'Cennik enova365'!C9,IF(B5= "platyna",'Cennik enova365'!D9))))</f>
        <v>132</v>
      </c>
      <c r="D5" s="31">
        <v>0</v>
      </c>
      <c r="E5" s="32">
        <f>IF(AND((D4&gt;0),(D5)&gt;0),"usuń Ks. Podatkową",D5*C5)</f>
        <v>0</v>
      </c>
      <c r="F5" s="62">
        <f t="shared" si="1"/>
        <v>0</v>
      </c>
      <c r="H5" s="160" t="str">
        <f>IF(E5="usuń Ks. Podatkową","Ks. Podatkowej i Handlowej nie można łączyć w ramach jednej licencji"," ")</f>
        <v xml:space="preserve"> </v>
      </c>
      <c r="I5" s="67"/>
      <c r="J5" s="67"/>
      <c r="K5" s="11"/>
      <c r="L5" s="11">
        <f t="shared" si="2"/>
        <v>0</v>
      </c>
      <c r="M5" s="11"/>
      <c r="N5" s="68"/>
      <c r="O5" s="68"/>
    </row>
    <row r="6" spans="1:15" x14ac:dyDescent="0.3">
      <c r="A6" s="157" t="s">
        <v>24</v>
      </c>
      <c r="B6" s="29" t="s">
        <v>2</v>
      </c>
      <c r="C6" s="30">
        <f>IF(B6="srebro",'Cennik enova365'!B10,(IF(B6="złoto",'Cennik enova365'!C10,IF(B6= "platyna",'Cennik enova365'!D10))))</f>
        <v>52</v>
      </c>
      <c r="D6" s="31">
        <v>0</v>
      </c>
      <c r="E6" s="32">
        <f t="shared" si="0"/>
        <v>0</v>
      </c>
      <c r="F6" s="62">
        <f t="shared" si="1"/>
        <v>0</v>
      </c>
      <c r="H6" s="160" t="str">
        <f>IF(B6="platyna"," ",IF(AND(D4&gt;0,D5&gt;0,B6&lt;&gt;B5),"w tej konfiguracji Ks. Inwentarzowa musi mieć taki sam kolor jak Ks. Handlowa",IF(D6=0," ",IF(AND(D5&gt;0,B6&lt;&gt;B5),"Ks. Inwentarzowa musi mieć taki sam kolor jak Ks. Handlowa",IF(AND(D4&gt;0,D5=0,B4&lt;&gt;B6),"Ks. Inwentarzowa musi mieć taki sam kolor jak Ks. Podatkowa"," ")))))</f>
        <v xml:space="preserve"> </v>
      </c>
      <c r="I6" s="67"/>
      <c r="J6" s="67"/>
      <c r="K6" s="11"/>
      <c r="L6" s="11">
        <f t="shared" si="2"/>
        <v>0</v>
      </c>
      <c r="M6" s="11"/>
      <c r="N6" s="68"/>
      <c r="O6" s="68"/>
    </row>
    <row r="7" spans="1:15" ht="31.2" x14ac:dyDescent="0.3">
      <c r="A7" s="92" t="s">
        <v>69</v>
      </c>
      <c r="B7" s="29" t="s">
        <v>2</v>
      </c>
      <c r="C7" s="30">
        <f>IF(B7="srebro",'Cennik enova365'!B11,(IF(B7="złoto",'Cennik enova365'!C11,IF(B7= "platyna",'Cennik enova365'!D11))))</f>
        <v>21</v>
      </c>
      <c r="D7" s="31">
        <v>0</v>
      </c>
      <c r="E7" s="32">
        <f t="shared" si="0"/>
        <v>0</v>
      </c>
      <c r="F7" s="62">
        <f t="shared" si="1"/>
        <v>0</v>
      </c>
      <c r="H7" s="159"/>
      <c r="I7" s="67"/>
      <c r="J7" s="67"/>
      <c r="K7" s="11"/>
      <c r="L7" s="11">
        <f t="shared" si="2"/>
        <v>0</v>
      </c>
      <c r="M7" s="11"/>
      <c r="N7" s="68"/>
      <c r="O7" s="68"/>
    </row>
    <row r="8" spans="1:15" x14ac:dyDescent="0.3">
      <c r="A8" s="92" t="s">
        <v>133</v>
      </c>
      <c r="B8" s="29" t="s">
        <v>2</v>
      </c>
      <c r="C8" s="30">
        <f>IF(B8="srebro",'Cennik enova365'!B12,(IF(B8="złoto",'Cennik enova365'!C12,IF(B8= "platyna",'Cennik enova365'!D12))))</f>
        <v>45</v>
      </c>
      <c r="D8" s="31">
        <v>0</v>
      </c>
      <c r="E8" s="32">
        <f t="shared" si="0"/>
        <v>0</v>
      </c>
      <c r="F8" s="62">
        <f t="shared" si="1"/>
        <v>0</v>
      </c>
      <c r="H8" s="159"/>
      <c r="I8" s="67"/>
      <c r="J8" s="67"/>
      <c r="K8" s="11"/>
      <c r="L8" s="11">
        <f t="shared" si="2"/>
        <v>0</v>
      </c>
      <c r="M8" s="11"/>
      <c r="N8" s="68"/>
      <c r="O8" s="68"/>
    </row>
    <row r="9" spans="1:15" x14ac:dyDescent="0.3">
      <c r="A9" s="157" t="s">
        <v>26</v>
      </c>
      <c r="B9" s="29" t="s">
        <v>2</v>
      </c>
      <c r="C9" s="30">
        <f>IF(B9="srebro",'Cennik enova365'!B13,(IF(B9="złoto",'Cennik enova365'!C13,IF(B9= "platyna",'Cennik enova365'!D13))))</f>
        <v>26</v>
      </c>
      <c r="D9" s="31">
        <v>0</v>
      </c>
      <c r="E9" s="32">
        <f t="shared" si="0"/>
        <v>0</v>
      </c>
      <c r="F9" s="62">
        <f t="shared" si="1"/>
        <v>0</v>
      </c>
      <c r="H9" s="67"/>
      <c r="I9" s="67"/>
      <c r="J9" s="67"/>
      <c r="K9" s="11"/>
      <c r="L9" s="11">
        <f t="shared" si="2"/>
        <v>0</v>
      </c>
      <c r="M9" s="11"/>
      <c r="N9" s="68"/>
      <c r="O9" s="68"/>
    </row>
    <row r="10" spans="1:15" x14ac:dyDescent="0.3">
      <c r="A10" s="157" t="s">
        <v>27</v>
      </c>
      <c r="B10" s="29" t="s">
        <v>2</v>
      </c>
      <c r="C10" s="30">
        <f>IF(B10="srebro",'Cennik enova365'!B14,(IF(B10="złoto",'Cennik enova365'!C14,IF(B10= "platyna",'Cennik enova365'!D14))))</f>
        <v>78</v>
      </c>
      <c r="D10" s="31">
        <v>0</v>
      </c>
      <c r="E10" s="32">
        <f>IF(AND((D9&gt;0),(D10&gt;0)),"usuń Faktury",D10*C10)</f>
        <v>0</v>
      </c>
      <c r="F10" s="62">
        <f t="shared" si="1"/>
        <v>0</v>
      </c>
      <c r="H10" s="158" t="str">
        <f>IF(E10="usuń Faktury","Faktur i Handlu nie można łączyć w ramach jednej licencji"," ")</f>
        <v xml:space="preserve"> </v>
      </c>
      <c r="I10" s="67"/>
      <c r="J10" s="67"/>
      <c r="K10" s="11"/>
      <c r="L10" s="11">
        <f t="shared" si="2"/>
        <v>0</v>
      </c>
      <c r="M10" s="11"/>
      <c r="N10" s="68"/>
      <c r="O10" s="68"/>
    </row>
    <row r="11" spans="1:15" x14ac:dyDescent="0.3">
      <c r="A11" s="59" t="s">
        <v>77</v>
      </c>
      <c r="B11" s="29" t="s">
        <v>2</v>
      </c>
      <c r="C11" s="30">
        <f>IF(B11="srebro",'Cennik enova365'!B15,(IF(B11="złoto",'Cennik enova365'!C15,IF(B11= "platyna",'Cennik enova365'!D15))))</f>
        <v>83</v>
      </c>
      <c r="D11" s="31">
        <v>0</v>
      </c>
      <c r="E11" s="32">
        <f t="shared" si="0"/>
        <v>0</v>
      </c>
      <c r="F11" s="62">
        <f t="shared" si="1"/>
        <v>0</v>
      </c>
      <c r="H11" s="67"/>
      <c r="I11" s="67"/>
      <c r="J11" s="67"/>
      <c r="K11" s="11"/>
      <c r="L11" s="11">
        <f t="shared" si="2"/>
        <v>0</v>
      </c>
      <c r="M11" s="11"/>
      <c r="N11" s="68"/>
      <c r="O11" s="68"/>
    </row>
    <row r="12" spans="1:15" x14ac:dyDescent="0.3">
      <c r="A12" s="59" t="s">
        <v>28</v>
      </c>
      <c r="B12" s="29" t="s">
        <v>2</v>
      </c>
      <c r="C12" s="30">
        <f>IF(B12="srebro",'Cennik enova365'!B16,(IF(B12="złoto",'Cennik enova365'!C16,IF(B12= "platyna",'Cennik enova365'!D16))))</f>
        <v>104</v>
      </c>
      <c r="D12" s="31">
        <v>0</v>
      </c>
      <c r="E12" s="32">
        <f t="shared" si="0"/>
        <v>0</v>
      </c>
      <c r="F12" s="62">
        <f t="shared" si="1"/>
        <v>0</v>
      </c>
      <c r="H12" s="67"/>
      <c r="I12" s="67"/>
      <c r="J12" s="67"/>
      <c r="K12" s="11"/>
      <c r="L12" s="11">
        <f t="shared" si="2"/>
        <v>0</v>
      </c>
      <c r="M12" s="11"/>
      <c r="N12" s="68"/>
      <c r="O12" s="68"/>
    </row>
    <row r="13" spans="1:15" x14ac:dyDescent="0.3">
      <c r="A13" s="157" t="s">
        <v>29</v>
      </c>
      <c r="B13" s="29" t="s">
        <v>2</v>
      </c>
      <c r="C13" s="30">
        <f>IF(B13="srebro",'Cennik enova365'!B17,(IF(B13="złoto",'Cennik enova365'!C17,IF(B13= "platyna",'Cennik enova365'!D17))))</f>
        <v>48</v>
      </c>
      <c r="D13" s="31">
        <v>0</v>
      </c>
      <c r="E13" s="32">
        <f t="shared" si="0"/>
        <v>0</v>
      </c>
      <c r="F13" s="62">
        <f t="shared" si="1"/>
        <v>0</v>
      </c>
      <c r="H13" s="159" t="str">
        <f>IF(D13&gt;0,"zawiera pełną funcjonalność e-mail"," ")</f>
        <v xml:space="preserve"> </v>
      </c>
      <c r="I13" s="67"/>
      <c r="J13" s="67"/>
      <c r="K13" s="11"/>
      <c r="L13" s="11">
        <f t="shared" si="2"/>
        <v>0</v>
      </c>
      <c r="M13" s="11"/>
      <c r="N13" s="68"/>
      <c r="O13" s="68"/>
    </row>
    <row r="14" spans="1:15" x14ac:dyDescent="0.3">
      <c r="A14" s="157" t="s">
        <v>30</v>
      </c>
      <c r="B14" s="29" t="s">
        <v>2</v>
      </c>
      <c r="C14" s="30">
        <f>IF(B14="srebro",'Cennik enova365'!B18,(IF(B14="złoto",'Cennik enova365'!C18,IF(B14= "platyna",'Cennik enova365'!D18))))</f>
        <v>36</v>
      </c>
      <c r="D14" s="31">
        <v>0</v>
      </c>
      <c r="E14" s="32">
        <f t="shared" si="0"/>
        <v>0</v>
      </c>
      <c r="F14" s="62">
        <f t="shared" si="1"/>
        <v>0</v>
      </c>
      <c r="H14" s="159"/>
      <c r="I14" s="67"/>
      <c r="J14" s="67"/>
      <c r="K14" s="11"/>
      <c r="L14" s="11">
        <f t="shared" si="2"/>
        <v>0</v>
      </c>
      <c r="M14" s="11"/>
      <c r="N14" s="68"/>
      <c r="O14" s="68"/>
    </row>
    <row r="15" spans="1:15" x14ac:dyDescent="0.3">
      <c r="A15" s="157" t="s">
        <v>31</v>
      </c>
      <c r="B15" s="29" t="s">
        <v>2</v>
      </c>
      <c r="C15" s="30">
        <f>IF(B15="srebro",'Cennik enova365'!B19,(IF(B15="złoto",'Cennik enova365'!C19,IF(B15= "platyna",'Cennik enova365'!D19))))</f>
        <v>41</v>
      </c>
      <c r="D15" s="31">
        <v>0</v>
      </c>
      <c r="E15" s="32">
        <f t="shared" si="0"/>
        <v>0</v>
      </c>
      <c r="F15" s="62">
        <f t="shared" si="1"/>
        <v>0</v>
      </c>
      <c r="H15" s="159"/>
      <c r="I15" s="67"/>
      <c r="J15" s="67"/>
      <c r="K15" s="11"/>
      <c r="L15" s="11">
        <f t="shared" si="2"/>
        <v>0</v>
      </c>
      <c r="M15" s="11"/>
      <c r="N15" s="68"/>
      <c r="O15" s="68"/>
    </row>
    <row r="16" spans="1:15" x14ac:dyDescent="0.3">
      <c r="A16" s="157" t="s">
        <v>32</v>
      </c>
      <c r="B16" s="29" t="s">
        <v>2</v>
      </c>
      <c r="C16" s="30">
        <f>IF(B16="srebro",'Cennik enova365'!B20,(IF(B16="złoto",'Cennik enova365'!C20,IF(B16= "platyna",'Cennik enova365'!D20))))</f>
        <v>36</v>
      </c>
      <c r="D16" s="31">
        <v>0</v>
      </c>
      <c r="E16" s="32">
        <f t="shared" si="0"/>
        <v>0</v>
      </c>
      <c r="F16" s="62">
        <f t="shared" si="1"/>
        <v>0</v>
      </c>
      <c r="H16" s="159"/>
      <c r="I16" s="67"/>
      <c r="J16" s="67"/>
      <c r="K16" s="11"/>
      <c r="L16" s="11">
        <f t="shared" si="2"/>
        <v>0</v>
      </c>
      <c r="M16" s="11"/>
      <c r="N16" s="68"/>
      <c r="O16" s="68"/>
    </row>
    <row r="17" spans="1:15" x14ac:dyDescent="0.3">
      <c r="A17" s="157" t="s">
        <v>33</v>
      </c>
      <c r="B17" s="29" t="s">
        <v>2</v>
      </c>
      <c r="C17" s="30">
        <f>IF(B17="srebro",'Cennik enova365'!B21,(IF(B17="złoto",'Cennik enova365'!C21,IF(B17= "platyna",'Cennik enova365'!D21))))</f>
        <v>36</v>
      </c>
      <c r="D17" s="31">
        <v>0</v>
      </c>
      <c r="E17" s="32">
        <f t="shared" si="0"/>
        <v>0</v>
      </c>
      <c r="F17" s="62">
        <f t="shared" si="1"/>
        <v>0</v>
      </c>
      <c r="H17" s="159"/>
      <c r="I17" s="67"/>
      <c r="J17" s="67"/>
      <c r="K17" s="11"/>
      <c r="L17" s="11">
        <f t="shared" si="2"/>
        <v>0</v>
      </c>
      <c r="M17" s="11"/>
      <c r="N17" s="68"/>
      <c r="O17" s="68"/>
    </row>
    <row r="18" spans="1:15" x14ac:dyDescent="0.3">
      <c r="A18" s="157" t="s">
        <v>35</v>
      </c>
      <c r="B18" s="29" t="s">
        <v>2</v>
      </c>
      <c r="C18" s="30">
        <f>IF(B18="srebro",'Cennik enova365'!B22,(IF(B18="złoto",'Cennik enova365'!C22,IF(B18= "platyna",'Cennik enova365'!D22))))</f>
        <v>88</v>
      </c>
      <c r="D18" s="31">
        <v>0</v>
      </c>
      <c r="E18" s="32">
        <f t="shared" si="0"/>
        <v>0</v>
      </c>
      <c r="F18" s="62">
        <f t="shared" si="1"/>
        <v>0</v>
      </c>
      <c r="H18" s="159" t="str">
        <f>IF(D18&gt;0,"zawiera pełną funcjonalność CRM oraz e-mail"," ")</f>
        <v xml:space="preserve"> </v>
      </c>
      <c r="I18" s="67"/>
      <c r="J18" s="67"/>
      <c r="K18" s="11"/>
      <c r="L18" s="11">
        <f t="shared" si="2"/>
        <v>0</v>
      </c>
      <c r="M18" s="11"/>
      <c r="N18" s="68"/>
      <c r="O18" s="68"/>
    </row>
    <row r="19" spans="1:15" x14ac:dyDescent="0.3">
      <c r="A19" s="59" t="s">
        <v>34</v>
      </c>
      <c r="B19" s="29" t="s">
        <v>4</v>
      </c>
      <c r="C19" s="30">
        <f>IF(B19="srebro",'Cennik enova365'!B23,(IF(B19="złoto",'Cennik enova365'!C23,IF(B19= "platyna",'Cennik enova365'!D23))))</f>
        <v>25</v>
      </c>
      <c r="D19" s="31">
        <v>0</v>
      </c>
      <c r="E19" s="32">
        <f t="shared" si="0"/>
        <v>0</v>
      </c>
      <c r="F19" s="62">
        <f t="shared" si="1"/>
        <v>0</v>
      </c>
      <c r="H19" s="67"/>
      <c r="I19" s="67"/>
      <c r="J19" s="67"/>
      <c r="K19" s="11"/>
      <c r="L19" s="11">
        <f t="shared" si="2"/>
        <v>0</v>
      </c>
      <c r="M19" s="11"/>
      <c r="N19" s="68"/>
      <c r="O19" s="68"/>
    </row>
    <row r="20" spans="1:15" x14ac:dyDescent="0.3">
      <c r="A20" s="59" t="s">
        <v>67</v>
      </c>
      <c r="B20" s="29" t="s">
        <v>2</v>
      </c>
      <c r="C20" s="30">
        <f>IF(B20="srebro",'Cennik enova365'!B24,(IF(B20="złoto",'Cennik enova365'!C24,IF(B20= "platyna",'Cennik enova365'!D24))))</f>
        <v>17</v>
      </c>
      <c r="D20" s="31">
        <v>0</v>
      </c>
      <c r="E20" s="32">
        <f t="shared" si="0"/>
        <v>0</v>
      </c>
      <c r="F20" s="62">
        <f t="shared" si="1"/>
        <v>0</v>
      </c>
      <c r="H20" s="67"/>
      <c r="I20" s="67"/>
      <c r="J20" s="67"/>
      <c r="K20" s="11"/>
      <c r="L20" s="11">
        <f t="shared" si="2"/>
        <v>0</v>
      </c>
      <c r="M20" s="11"/>
      <c r="N20" s="68"/>
      <c r="O20" s="68"/>
    </row>
    <row r="21" spans="1:15" x14ac:dyDescent="0.3">
      <c r="A21" s="59" t="s">
        <v>68</v>
      </c>
      <c r="B21" s="81"/>
      <c r="C21" s="30">
        <f>'Cennik enova365'!C25</f>
        <v>104</v>
      </c>
      <c r="D21" s="81"/>
      <c r="E21" s="32">
        <f>IF(OR((AND(B19="platyna",D19&gt;0)),D20&gt;0),C21,0)</f>
        <v>0</v>
      </c>
      <c r="F21" s="62">
        <f t="shared" si="1"/>
        <v>0</v>
      </c>
      <c r="H21" s="67"/>
      <c r="I21" s="67"/>
      <c r="J21" s="67"/>
      <c r="K21" s="11"/>
      <c r="L21" s="11"/>
      <c r="M21" s="11"/>
      <c r="N21" s="68"/>
      <c r="O21" s="68"/>
    </row>
    <row r="22" spans="1:15" x14ac:dyDescent="0.3">
      <c r="A22" s="59" t="s">
        <v>36</v>
      </c>
      <c r="B22" s="29" t="s">
        <v>2</v>
      </c>
      <c r="C22" s="30">
        <f>IF(B22="srebro",'Cennik enova365'!B26,(IF(B22="złoto",'Cennik enova365'!C26,IF(B22= "platyna",'Cennik enova365'!D26))))</f>
        <v>36</v>
      </c>
      <c r="D22" s="31">
        <v>0</v>
      </c>
      <c r="E22" s="32">
        <f>D22*C22</f>
        <v>0</v>
      </c>
      <c r="F22" s="62">
        <f t="shared" si="1"/>
        <v>0</v>
      </c>
      <c r="H22" s="67"/>
      <c r="I22" s="67"/>
      <c r="J22" s="67"/>
      <c r="K22" s="11"/>
      <c r="L22" s="11">
        <f>IF(AND(OR(B22="złoto",B22="srebro"),D22&gt;0),1,0)</f>
        <v>0</v>
      </c>
      <c r="M22" s="11"/>
      <c r="N22" s="68"/>
      <c r="O22" s="68"/>
    </row>
    <row r="23" spans="1:15" x14ac:dyDescent="0.3">
      <c r="A23" s="59" t="s">
        <v>37</v>
      </c>
      <c r="B23" s="29" t="s">
        <v>2</v>
      </c>
      <c r="C23" s="30">
        <f>IF(B23="srebro",'Cennik enova365'!B27,(IF(B23="złoto",'Cennik enova365'!C27,IF(B23= "platyna",'Cennik enova365'!D27))))</f>
        <v>41</v>
      </c>
      <c r="D23" s="31">
        <v>0</v>
      </c>
      <c r="E23" s="32">
        <f>D23*C23</f>
        <v>0</v>
      </c>
      <c r="F23" s="62">
        <f t="shared" si="1"/>
        <v>0</v>
      </c>
      <c r="H23" s="67"/>
      <c r="I23" s="67"/>
      <c r="J23" s="67"/>
      <c r="K23" s="11"/>
      <c r="L23" s="11">
        <f>IF(AND(OR(B23="złoto",B23="srebro"),D23&gt;0),1,0)</f>
        <v>0</v>
      </c>
      <c r="M23" s="11"/>
      <c r="N23" s="68"/>
      <c r="O23" s="68"/>
    </row>
    <row r="24" spans="1:15" x14ac:dyDescent="0.3">
      <c r="A24" s="157" t="s">
        <v>38</v>
      </c>
      <c r="B24" s="29" t="s">
        <v>2</v>
      </c>
      <c r="C24" s="30">
        <f>IF(B24="srebro",'Cennik enova365'!B28,(IF(B24="złoto",'Cennik enova365'!C28,IF(B24= "platyna",'Cennik enova365'!D28))))</f>
        <v>26</v>
      </c>
      <c r="D24" s="31">
        <v>0</v>
      </c>
      <c r="E24" s="32">
        <f>D24*C24</f>
        <v>0</v>
      </c>
      <c r="F24" s="62">
        <f t="shared" si="1"/>
        <v>0</v>
      </c>
      <c r="H24" s="67"/>
      <c r="I24" s="67"/>
      <c r="J24" s="67"/>
      <c r="K24" s="11"/>
      <c r="L24" s="11">
        <f>IF(AND(OR(B24="złoto",B24="srebro"),D24&gt;0),1,0)</f>
        <v>0</v>
      </c>
      <c r="M24" s="11"/>
      <c r="N24" s="68"/>
      <c r="O24" s="68"/>
    </row>
    <row r="25" spans="1:15" x14ac:dyDescent="0.3">
      <c r="A25" s="59" t="s">
        <v>39</v>
      </c>
      <c r="B25" s="29" t="s">
        <v>2</v>
      </c>
      <c r="C25" s="30">
        <f>IF(B25="srebro",'Cennik enova365'!B29,(IF(B25="złoto",'Cennik enova365'!C29,IF(B25= "platyna",'Cennik enova365'!D29))))</f>
        <v>17</v>
      </c>
      <c r="D25" s="31">
        <v>0</v>
      </c>
      <c r="E25" s="32">
        <f>D25*C25</f>
        <v>0</v>
      </c>
      <c r="F25" s="62">
        <f t="shared" si="1"/>
        <v>0</v>
      </c>
      <c r="H25" s="67"/>
      <c r="I25" s="67"/>
      <c r="J25" s="67"/>
      <c r="K25" s="11"/>
      <c r="L25" s="11">
        <f>IF(AND(OR(B25="złoto",B25="srebro"),D25&gt;0),1,0)</f>
        <v>0</v>
      </c>
      <c r="M25" s="11">
        <f>SUM(L3:L25)</f>
        <v>0</v>
      </c>
      <c r="N25" s="68"/>
      <c r="O25" s="68"/>
    </row>
    <row r="26" spans="1:15" x14ac:dyDescent="0.3">
      <c r="A26" s="69" t="s">
        <v>10</v>
      </c>
      <c r="B26" s="70"/>
      <c r="C26" s="71"/>
      <c r="D26" s="72"/>
      <c r="E26" s="34">
        <f>SUM(E3:E25)</f>
        <v>0</v>
      </c>
      <c r="F26" s="62">
        <f t="shared" si="1"/>
        <v>0</v>
      </c>
      <c r="M26" s="11"/>
    </row>
    <row r="27" spans="1:15" x14ac:dyDescent="0.3">
      <c r="A27" s="94" t="s">
        <v>70</v>
      </c>
      <c r="B27" s="35"/>
      <c r="C27" s="43"/>
      <c r="D27" s="97"/>
      <c r="E27" s="93"/>
      <c r="F27" s="62">
        <f t="shared" si="1"/>
        <v>0</v>
      </c>
    </row>
    <row r="28" spans="1:15" x14ac:dyDescent="0.3">
      <c r="A28" s="98" t="s">
        <v>125</v>
      </c>
      <c r="B28" s="45"/>
      <c r="C28" s="30">
        <f>'Cennik enova365'!B93</f>
        <v>179</v>
      </c>
      <c r="D28" s="31" t="s">
        <v>3</v>
      </c>
      <c r="E28" s="32">
        <f>IF(D28="TAK",C28,0)</f>
        <v>0</v>
      </c>
      <c r="F28" s="62">
        <f t="shared" si="1"/>
        <v>0</v>
      </c>
    </row>
    <row r="29" spans="1:15" x14ac:dyDescent="0.3">
      <c r="A29" s="98" t="s">
        <v>126</v>
      </c>
      <c r="B29" s="45"/>
      <c r="C29" s="30">
        <f>'Cennik enova365'!B94</f>
        <v>179</v>
      </c>
      <c r="D29" s="31" t="s">
        <v>3</v>
      </c>
      <c r="E29" s="32">
        <f t="shared" ref="E29:E31" si="3">IF(D29="TAK",C29,0)</f>
        <v>0</v>
      </c>
      <c r="F29" s="62">
        <f t="shared" si="1"/>
        <v>0</v>
      </c>
    </row>
    <row r="30" spans="1:15" x14ac:dyDescent="0.3">
      <c r="A30" s="98" t="s">
        <v>127</v>
      </c>
      <c r="B30" s="45"/>
      <c r="C30" s="30">
        <f>'Cennik enova365'!B95</f>
        <v>179</v>
      </c>
      <c r="D30" s="31" t="s">
        <v>3</v>
      </c>
      <c r="E30" s="32">
        <f t="shared" si="3"/>
        <v>0</v>
      </c>
      <c r="F30" s="62">
        <f t="shared" si="1"/>
        <v>0</v>
      </c>
    </row>
    <row r="31" spans="1:15" x14ac:dyDescent="0.3">
      <c r="A31" s="98" t="s">
        <v>128</v>
      </c>
      <c r="B31" s="45"/>
      <c r="C31" s="30">
        <f>'Cennik enova365'!B96</f>
        <v>179</v>
      </c>
      <c r="D31" s="31" t="s">
        <v>3</v>
      </c>
      <c r="E31" s="32">
        <f t="shared" si="3"/>
        <v>0</v>
      </c>
      <c r="F31" s="62">
        <f t="shared" si="1"/>
        <v>0</v>
      </c>
    </row>
    <row r="32" spans="1:15" x14ac:dyDescent="0.3">
      <c r="A32" s="98" t="s">
        <v>110</v>
      </c>
      <c r="B32" s="45"/>
      <c r="C32" s="30">
        <f>'Cennik enova365'!B97</f>
        <v>1250</v>
      </c>
      <c r="D32" s="31" t="s">
        <v>3</v>
      </c>
      <c r="E32" s="32">
        <f>IF(D32="TAK",C32,0)</f>
        <v>0</v>
      </c>
      <c r="F32" s="62">
        <f t="shared" si="1"/>
        <v>0</v>
      </c>
      <c r="K32" s="74"/>
    </row>
    <row r="33" spans="1:8" x14ac:dyDescent="0.3">
      <c r="A33" s="69" t="s">
        <v>72</v>
      </c>
      <c r="B33" s="96"/>
      <c r="C33" s="71"/>
      <c r="D33" s="72"/>
      <c r="E33" s="34">
        <f>SUM(E28:E32)</f>
        <v>0</v>
      </c>
      <c r="F33" s="62">
        <f t="shared" si="1"/>
        <v>0</v>
      </c>
    </row>
    <row r="34" spans="1:8" x14ac:dyDescent="0.3">
      <c r="A34" s="168" t="s">
        <v>62</v>
      </c>
      <c r="B34" s="169"/>
      <c r="C34" s="35"/>
      <c r="D34" s="36"/>
      <c r="E34" s="37"/>
      <c r="F34" s="62">
        <f t="shared" si="1"/>
        <v>0</v>
      </c>
    </row>
    <row r="35" spans="1:8" x14ac:dyDescent="0.3">
      <c r="A35" s="170" t="s">
        <v>78</v>
      </c>
      <c r="B35" s="171"/>
      <c r="C35" s="30">
        <f>'Cennik enova365'!B33</f>
        <v>104</v>
      </c>
      <c r="D35" s="31" t="s">
        <v>3</v>
      </c>
      <c r="E35" s="32">
        <f>IF(SUM(D$3:D$25)=0,IF(D35="TAK",C35,0),IF(M$25=0,0,IF(D35="TAK",C35,0)))</f>
        <v>0</v>
      </c>
      <c r="F35" s="62">
        <f t="shared" si="1"/>
        <v>0</v>
      </c>
    </row>
    <row r="36" spans="1:8" x14ac:dyDescent="0.3">
      <c r="A36" s="170" t="s">
        <v>46</v>
      </c>
      <c r="B36" s="171"/>
      <c r="C36" s="30">
        <f>'Cennik enova365'!B34</f>
        <v>104</v>
      </c>
      <c r="D36" s="31" t="s">
        <v>3</v>
      </c>
      <c r="E36" s="32">
        <f t="shared" ref="E36:E54" si="4">IF(SUM(D$3:D$25)=0,IF(D36="TAK",C36,0),IF(M$25=0,0,IF(D36="TAK",C36,0)))</f>
        <v>0</v>
      </c>
      <c r="F36" s="62">
        <f t="shared" si="1"/>
        <v>0</v>
      </c>
    </row>
    <row r="37" spans="1:8" x14ac:dyDescent="0.3">
      <c r="A37" s="170" t="s">
        <v>79</v>
      </c>
      <c r="B37" s="171"/>
      <c r="C37" s="30">
        <f>'Cennik enova365'!B35</f>
        <v>313</v>
      </c>
      <c r="D37" s="31" t="s">
        <v>3</v>
      </c>
      <c r="E37" s="32">
        <f t="shared" si="4"/>
        <v>0</v>
      </c>
      <c r="F37" s="62">
        <f t="shared" si="1"/>
        <v>0</v>
      </c>
    </row>
    <row r="38" spans="1:8" x14ac:dyDescent="0.3">
      <c r="A38" s="170" t="s">
        <v>47</v>
      </c>
      <c r="B38" s="171"/>
      <c r="C38" s="30">
        <f>'Cennik enova365'!B36</f>
        <v>83</v>
      </c>
      <c r="D38" s="31" t="s">
        <v>3</v>
      </c>
      <c r="E38" s="32">
        <f t="shared" si="4"/>
        <v>0</v>
      </c>
      <c r="F38" s="62">
        <f t="shared" ref="F38:F67" si="5">IF(E38&gt;0,1,0)</f>
        <v>0</v>
      </c>
    </row>
    <row r="39" spans="1:8" x14ac:dyDescent="0.3">
      <c r="A39" s="170" t="s">
        <v>81</v>
      </c>
      <c r="B39" s="171"/>
      <c r="C39" s="30">
        <f>'Cennik enova365'!B37</f>
        <v>83</v>
      </c>
      <c r="D39" s="31" t="s">
        <v>3</v>
      </c>
      <c r="E39" s="32">
        <f t="shared" si="4"/>
        <v>0</v>
      </c>
      <c r="F39" s="62">
        <f t="shared" si="5"/>
        <v>0</v>
      </c>
      <c r="H39" s="67"/>
    </row>
    <row r="40" spans="1:8" x14ac:dyDescent="0.3">
      <c r="A40" s="170" t="s">
        <v>76</v>
      </c>
      <c r="B40" s="171"/>
      <c r="C40" s="30">
        <f>'Cennik enova365'!B38</f>
        <v>62</v>
      </c>
      <c r="D40" s="31" t="s">
        <v>3</v>
      </c>
      <c r="E40" s="32">
        <f t="shared" si="4"/>
        <v>0</v>
      </c>
      <c r="F40" s="62">
        <f t="shared" si="5"/>
        <v>0</v>
      </c>
    </row>
    <row r="41" spans="1:8" x14ac:dyDescent="0.3">
      <c r="A41" s="170" t="s">
        <v>80</v>
      </c>
      <c r="B41" s="171"/>
      <c r="C41" s="30">
        <f>'Cennik enova365'!B39</f>
        <v>29</v>
      </c>
      <c r="D41" s="31" t="s">
        <v>3</v>
      </c>
      <c r="E41" s="32">
        <f t="shared" si="4"/>
        <v>0</v>
      </c>
      <c r="F41" s="62">
        <f t="shared" si="5"/>
        <v>0</v>
      </c>
    </row>
    <row r="42" spans="1:8" x14ac:dyDescent="0.3">
      <c r="A42" s="170" t="s">
        <v>143</v>
      </c>
      <c r="B42" s="171"/>
      <c r="C42" s="30">
        <f>'Cennik enova365'!B40</f>
        <v>37</v>
      </c>
      <c r="D42" s="31" t="s">
        <v>3</v>
      </c>
      <c r="E42" s="32">
        <f t="shared" ref="E42" si="6">IF(SUM(D$3:D$25)=0,IF(D42="TAK",C42,0),IF(M$25=0,0,IF(D42="TAK",C42,0)))</f>
        <v>0</v>
      </c>
      <c r="F42" s="62">
        <f t="shared" ref="F42" si="7">IF(E42&gt;0,1,0)</f>
        <v>0</v>
      </c>
    </row>
    <row r="43" spans="1:8" x14ac:dyDescent="0.3">
      <c r="A43" s="170" t="s">
        <v>41</v>
      </c>
      <c r="B43" s="171"/>
      <c r="C43" s="30">
        <f>'Cennik enova365'!B41</f>
        <v>83</v>
      </c>
      <c r="D43" s="31" t="s">
        <v>3</v>
      </c>
      <c r="E43" s="32">
        <f t="shared" si="4"/>
        <v>0</v>
      </c>
      <c r="F43" s="62">
        <f t="shared" si="5"/>
        <v>0</v>
      </c>
    </row>
    <row r="44" spans="1:8" x14ac:dyDescent="0.3">
      <c r="A44" s="170" t="s">
        <v>42</v>
      </c>
      <c r="B44" s="171"/>
      <c r="C44" s="30">
        <f>'Cennik enova365'!B42</f>
        <v>91</v>
      </c>
      <c r="D44" s="31" t="s">
        <v>3</v>
      </c>
      <c r="E44" s="32">
        <f t="shared" si="4"/>
        <v>0</v>
      </c>
      <c r="F44" s="62">
        <f t="shared" si="5"/>
        <v>0</v>
      </c>
    </row>
    <row r="45" spans="1:8" x14ac:dyDescent="0.3">
      <c r="A45" s="170" t="s">
        <v>43</v>
      </c>
      <c r="B45" s="171"/>
      <c r="C45" s="30">
        <f>'Cennik enova365'!B43</f>
        <v>104</v>
      </c>
      <c r="D45" s="31" t="s">
        <v>3</v>
      </c>
      <c r="E45" s="32">
        <f t="shared" si="4"/>
        <v>0</v>
      </c>
      <c r="F45" s="62">
        <f t="shared" si="5"/>
        <v>0</v>
      </c>
    </row>
    <row r="46" spans="1:8" x14ac:dyDescent="0.3">
      <c r="A46" s="170" t="s">
        <v>44</v>
      </c>
      <c r="B46" s="171"/>
      <c r="C46" s="30">
        <f>'Cennik enova365'!B44</f>
        <v>62</v>
      </c>
      <c r="D46" s="31" t="s">
        <v>3</v>
      </c>
      <c r="E46" s="32">
        <f t="shared" si="4"/>
        <v>0</v>
      </c>
      <c r="F46" s="62">
        <f t="shared" si="5"/>
        <v>0</v>
      </c>
    </row>
    <row r="47" spans="1:8" x14ac:dyDescent="0.3">
      <c r="A47" s="170" t="s">
        <v>45</v>
      </c>
      <c r="B47" s="171"/>
      <c r="C47" s="30">
        <f>'Cennik enova365'!B45</f>
        <v>62</v>
      </c>
      <c r="D47" s="31" t="s">
        <v>3</v>
      </c>
      <c r="E47" s="32">
        <f t="shared" si="4"/>
        <v>0</v>
      </c>
      <c r="F47" s="62">
        <f t="shared" si="5"/>
        <v>0</v>
      </c>
    </row>
    <row r="48" spans="1:8" x14ac:dyDescent="0.3">
      <c r="A48" s="170" t="s">
        <v>50</v>
      </c>
      <c r="B48" s="171"/>
      <c r="C48" s="30">
        <f>'Cennik enova365'!B46</f>
        <v>83</v>
      </c>
      <c r="D48" s="31" t="s">
        <v>3</v>
      </c>
      <c r="E48" s="32">
        <f t="shared" si="4"/>
        <v>0</v>
      </c>
      <c r="F48" s="62">
        <f t="shared" si="5"/>
        <v>0</v>
      </c>
    </row>
    <row r="49" spans="1:8" x14ac:dyDescent="0.3">
      <c r="A49" s="170" t="s">
        <v>74</v>
      </c>
      <c r="B49" s="171"/>
      <c r="C49" s="30">
        <f>'Cennik enova365'!B47</f>
        <v>208</v>
      </c>
      <c r="D49" s="31" t="s">
        <v>3</v>
      </c>
      <c r="E49" s="32">
        <f t="shared" si="4"/>
        <v>0</v>
      </c>
      <c r="F49" s="62">
        <f t="shared" si="5"/>
        <v>0</v>
      </c>
    </row>
    <row r="50" spans="1:8" x14ac:dyDescent="0.3">
      <c r="A50" s="170" t="s">
        <v>106</v>
      </c>
      <c r="B50" s="171"/>
      <c r="C50" s="30">
        <f>'Cennik enova365'!B48</f>
        <v>83</v>
      </c>
      <c r="D50" s="31" t="s">
        <v>3</v>
      </c>
      <c r="E50" s="32">
        <f t="shared" si="4"/>
        <v>0</v>
      </c>
      <c r="F50" s="62">
        <f>IF(E50&gt;0,1,0)</f>
        <v>0</v>
      </c>
    </row>
    <row r="51" spans="1:8" x14ac:dyDescent="0.3">
      <c r="A51" s="170" t="s">
        <v>144</v>
      </c>
      <c r="B51" s="171"/>
      <c r="C51" s="30">
        <f>'Cennik enova365'!B49</f>
        <v>62</v>
      </c>
      <c r="D51" s="31" t="s">
        <v>3</v>
      </c>
      <c r="E51" s="32">
        <f t="shared" si="4"/>
        <v>0</v>
      </c>
      <c r="F51" s="62">
        <f>IF(E51&gt;0,1,0)</f>
        <v>0</v>
      </c>
    </row>
    <row r="52" spans="1:8" x14ac:dyDescent="0.3">
      <c r="A52" s="170" t="s">
        <v>49</v>
      </c>
      <c r="B52" s="171"/>
      <c r="C52" s="30">
        <f>'Cennik enova365'!B50</f>
        <v>37</v>
      </c>
      <c r="D52" s="31" t="s">
        <v>3</v>
      </c>
      <c r="E52" s="32">
        <f t="shared" si="4"/>
        <v>0</v>
      </c>
      <c r="F52" s="62">
        <f t="shared" si="5"/>
        <v>0</v>
      </c>
    </row>
    <row r="53" spans="1:8" x14ac:dyDescent="0.3">
      <c r="A53" s="170" t="s">
        <v>59</v>
      </c>
      <c r="B53" s="171"/>
      <c r="C53" s="30">
        <f>'Cennik enova365'!B51</f>
        <v>83</v>
      </c>
      <c r="D53" s="31" t="s">
        <v>3</v>
      </c>
      <c r="E53" s="32">
        <f t="shared" si="4"/>
        <v>0</v>
      </c>
      <c r="F53" s="62">
        <f t="shared" si="5"/>
        <v>0</v>
      </c>
    </row>
    <row r="54" spans="1:8" x14ac:dyDescent="0.3">
      <c r="A54" s="170" t="s">
        <v>51</v>
      </c>
      <c r="B54" s="171"/>
      <c r="C54" s="30">
        <f>'Cennik enova365'!B52</f>
        <v>62</v>
      </c>
      <c r="D54" s="31" t="s">
        <v>3</v>
      </c>
      <c r="E54" s="32">
        <f t="shared" si="4"/>
        <v>0</v>
      </c>
      <c r="F54" s="62">
        <f t="shared" si="5"/>
        <v>0</v>
      </c>
    </row>
    <row r="55" spans="1:8" x14ac:dyDescent="0.3">
      <c r="A55" s="39" t="s">
        <v>11</v>
      </c>
      <c r="B55" s="40"/>
      <c r="C55" s="41"/>
      <c r="D55" s="42"/>
      <c r="E55" s="34">
        <f>SUM(E35:E54)</f>
        <v>0</v>
      </c>
      <c r="F55" s="62">
        <f t="shared" si="5"/>
        <v>0</v>
      </c>
    </row>
    <row r="56" spans="1:8" x14ac:dyDescent="0.3">
      <c r="A56" s="61" t="s">
        <v>19</v>
      </c>
      <c r="B56" s="35"/>
      <c r="C56" s="43"/>
      <c r="D56" s="35"/>
      <c r="E56" s="37"/>
      <c r="F56" s="62">
        <f t="shared" si="5"/>
        <v>0</v>
      </c>
    </row>
    <row r="57" spans="1:8" x14ac:dyDescent="0.3">
      <c r="A57" s="44"/>
      <c r="B57" s="45"/>
      <c r="C57" s="33"/>
      <c r="D57" s="46" t="s">
        <v>131</v>
      </c>
      <c r="E57" s="32"/>
      <c r="F57" s="62">
        <f t="shared" si="5"/>
        <v>0</v>
      </c>
      <c r="G57" s="62" t="s">
        <v>16</v>
      </c>
    </row>
    <row r="58" spans="1:8" x14ac:dyDescent="0.3">
      <c r="A58" s="47" t="s">
        <v>13</v>
      </c>
      <c r="B58" s="38" t="s">
        <v>3</v>
      </c>
      <c r="C58" s="30">
        <f>'Cennik enova365'!B56</f>
        <v>15</v>
      </c>
      <c r="D58" s="31">
        <v>1</v>
      </c>
      <c r="E58" s="32">
        <f>IF(SUM(D$3:D$25)=0,IF(B58="TAK",C58*D58,0),IF(M$26=0,0,IF(B58="TAK",C58*D58,0)))</f>
        <v>0</v>
      </c>
      <c r="F58" s="62">
        <f t="shared" si="5"/>
        <v>0</v>
      </c>
    </row>
    <row r="59" spans="1:8" x14ac:dyDescent="0.3">
      <c r="A59" s="47" t="s">
        <v>14</v>
      </c>
      <c r="B59" s="38" t="s">
        <v>3</v>
      </c>
      <c r="C59" s="30">
        <f>'Cennik enova365'!B57</f>
        <v>30</v>
      </c>
      <c r="D59" s="31">
        <v>1</v>
      </c>
      <c r="E59" s="32">
        <f>IF(AND(B59="TAK",B58="tak"),(IF(E59&lt;5,"1..5 musi być 5",IF(SUM(E$3:E$25)=0,IF(B59="TAK",C58*E59,0),IF(O$26=0,0,IF(B59="TAK",C59*E59,0))))),0)</f>
        <v>0</v>
      </c>
      <c r="F59" s="62">
        <f>IF(E59&gt;0,1,0)</f>
        <v>0</v>
      </c>
    </row>
    <row r="60" spans="1:8" x14ac:dyDescent="0.3">
      <c r="A60" s="39" t="s">
        <v>12</v>
      </c>
      <c r="B60" s="48"/>
      <c r="C60" s="49"/>
      <c r="D60" s="48"/>
      <c r="E60" s="50">
        <f>SUM(E58:E59)</f>
        <v>0</v>
      </c>
      <c r="F60" s="62">
        <f>IF(E60&gt;0,1,0)</f>
        <v>0</v>
      </c>
    </row>
    <row r="61" spans="1:8" x14ac:dyDescent="0.3">
      <c r="A61" s="61" t="s">
        <v>20</v>
      </c>
      <c r="B61" s="35"/>
      <c r="C61" s="43"/>
      <c r="D61" s="73" t="s">
        <v>18</v>
      </c>
      <c r="E61" s="37"/>
      <c r="F61" s="62">
        <f t="shared" si="5"/>
        <v>0</v>
      </c>
    </row>
    <row r="62" spans="1:8" x14ac:dyDescent="0.3">
      <c r="A62" s="47" t="s">
        <v>53</v>
      </c>
      <c r="B62" s="38" t="s">
        <v>3</v>
      </c>
      <c r="C62" s="30">
        <f>IF(D62="do 50 kont",'Cennik enova365'!B61,IF(D62="do 100 kont",'Cennik enova365'!B62,IF(D62="do 200 kont",'Cennik enova365'!B63,IF(D62="do 500 kont",'Cennik enova365'!B64,IF(D62="do 1000 kont",'Cennik enova365'!B65,IF(D62="powyżej 1000 kont",'Cennik enova365'!B66))))))</f>
        <v>125</v>
      </c>
      <c r="D62" s="31" t="s">
        <v>137</v>
      </c>
      <c r="E62" s="32">
        <f>IF(B62="TAK",IF(OR(E3&lt;=0,B3="srebro"),"Dodaj KP min. złote",C62),0)</f>
        <v>0</v>
      </c>
      <c r="F62" s="62">
        <f t="shared" si="5"/>
        <v>0</v>
      </c>
    </row>
    <row r="63" spans="1:8" x14ac:dyDescent="0.3">
      <c r="A63" s="47" t="s">
        <v>17</v>
      </c>
      <c r="B63" s="38" t="s">
        <v>3</v>
      </c>
      <c r="C63" s="30">
        <f>'Cennik enova365'!B68</f>
        <v>8</v>
      </c>
      <c r="D63" s="76">
        <v>0</v>
      </c>
      <c r="E63" s="32">
        <f>IF(B63="TAK",C63*D63,0)</f>
        <v>0</v>
      </c>
      <c r="F63" s="62">
        <f t="shared" si="5"/>
        <v>0</v>
      </c>
      <c r="H63" s="75"/>
    </row>
    <row r="64" spans="1:8" x14ac:dyDescent="0.3">
      <c r="A64" s="47" t="s">
        <v>60</v>
      </c>
      <c r="B64" s="38" t="s">
        <v>3</v>
      </c>
      <c r="C64" s="30">
        <f>IF(D64="do 50 kont",'Cennik enova365'!B75,IF(D64="do 100 kont",'Cennik enova365'!B76,IF(D64="do 200 kont",'Cennik enova365'!B77,IF(D64="do 500 kont",'Cennik enova365'!B78,IF(D64="do 1000 kont",'Cennik enova365'!B79,IF(D64="powyżej 1000 kont",'Cennik enova365'!B80))))))</f>
        <v>104</v>
      </c>
      <c r="D64" s="31" t="s">
        <v>137</v>
      </c>
      <c r="E64" s="32">
        <f>IF(B64="TAK",IF(OR(E10&lt;=0,B10="srebro"),"Dodaj Handel ZŁ",C64),0)</f>
        <v>0</v>
      </c>
      <c r="F64" s="62">
        <f t="shared" si="5"/>
        <v>0</v>
      </c>
      <c r="H64" s="75"/>
    </row>
    <row r="65" spans="1:10" x14ac:dyDescent="0.3">
      <c r="A65" s="47" t="s">
        <v>61</v>
      </c>
      <c r="B65" s="38" t="s">
        <v>3</v>
      </c>
      <c r="C65" s="30">
        <f>IF(D65="do 50 kont",'Cennik enova365'!B83,IF(D65="do 100 kont",'Cennik enova365'!B84,IF(D65="do 200 kont",'Cennik enova365'!B85,IF(D65="do 500 kont",'Cennik enova365'!B86,IF(D65="do 1000 kont",'Cennik enova365'!B87,IF(D65="powyżej 1000 kont",'Cennik enova365'!B88))))))</f>
        <v>62</v>
      </c>
      <c r="D65" s="31" t="s">
        <v>137</v>
      </c>
      <c r="E65" s="32">
        <f>IF(B65="TAK",IF(OR(E19&lt;=0,B19="złoto"),"Dodaj WFPL",C65),0)</f>
        <v>0</v>
      </c>
      <c r="F65" s="62">
        <f t="shared" si="5"/>
        <v>0</v>
      </c>
    </row>
    <row r="66" spans="1:10" x14ac:dyDescent="0.3">
      <c r="A66" s="47" t="s">
        <v>75</v>
      </c>
      <c r="B66" s="38" t="s">
        <v>3</v>
      </c>
      <c r="C66" s="30">
        <f>'Cennik enova365'!B69</f>
        <v>206</v>
      </c>
      <c r="D66" s="30"/>
      <c r="E66" s="32">
        <f>IF(B66="TAK",C66,0)</f>
        <v>0</v>
      </c>
      <c r="F66" s="62">
        <f t="shared" si="5"/>
        <v>0</v>
      </c>
    </row>
    <row r="67" spans="1:10" x14ac:dyDescent="0.3">
      <c r="A67" s="64" t="s">
        <v>21</v>
      </c>
      <c r="B67" s="48"/>
      <c r="C67" s="49"/>
      <c r="D67" s="48"/>
      <c r="E67" s="50">
        <f>SUM(E62:E66)</f>
        <v>0</v>
      </c>
      <c r="F67" s="62">
        <f t="shared" si="5"/>
        <v>0</v>
      </c>
      <c r="H67" s="63"/>
    </row>
    <row r="68" spans="1:10" x14ac:dyDescent="0.3">
      <c r="A68" s="51" t="s">
        <v>58</v>
      </c>
      <c r="B68" s="52"/>
      <c r="C68" s="52"/>
      <c r="D68" s="52"/>
      <c r="E68" s="53">
        <f>E26+E55+E60+E67+E33</f>
        <v>0</v>
      </c>
      <c r="F68" s="62">
        <f>IF(E68&gt;0,1,0)</f>
        <v>0</v>
      </c>
      <c r="H68" s="63"/>
    </row>
    <row r="69" spans="1:10" ht="46.2" customHeight="1" x14ac:dyDescent="0.3">
      <c r="A69" s="148" t="s">
        <v>132</v>
      </c>
      <c r="B69" s="153">
        <v>0</v>
      </c>
      <c r="C69" s="153" t="str">
        <f>IF(B70&gt;0,"TYP 3",((IF(B69&lt;=10,((IF(B69&lt;=1,"min. zamówienie to 2 dostępy",(VLOOKUP(B69,'Cennik enova365'!L:M,2,))))),("TYP 3")))))</f>
        <v>min. zamówienie to 2 dostępy</v>
      </c>
      <c r="D69" s="150">
        <f>IFERROR((HLOOKUP(C69,'Cennik enova365'!101:102,2,FALSE)),0)</f>
        <v>0</v>
      </c>
      <c r="E69" s="32">
        <f>D69*B69</f>
        <v>0</v>
      </c>
      <c r="F69" s="62">
        <f t="shared" ref="F69:F71" si="8">IF(E69&gt;0,1,0)</f>
        <v>0</v>
      </c>
      <c r="H69" s="63"/>
    </row>
    <row r="70" spans="1:10" ht="31.2" x14ac:dyDescent="0.3">
      <c r="A70" s="148" t="s">
        <v>135</v>
      </c>
      <c r="B70" s="152">
        <v>0</v>
      </c>
      <c r="C70" s="152" t="str">
        <f>IF(B70&gt;0,"TYP 3","-")</f>
        <v>-</v>
      </c>
      <c r="D70" s="151"/>
      <c r="E70" s="149">
        <f>IFERROR((((MROUND(((B70-B69)+1),5)/5)*60)),0)</f>
        <v>0</v>
      </c>
      <c r="F70" s="62">
        <f t="shared" si="8"/>
        <v>0</v>
      </c>
      <c r="G70" s="162">
        <f>IFERROR(E70/D69+B69,0)</f>
        <v>0</v>
      </c>
      <c r="H70" s="163" t="str">
        <f>IF(G70&gt;0,"na fakturze będzie tyle sztuk pozycji towarowej
pakiet enova365 dostęp dla użytkownika do bazy typ ... (tyle będzie także w pliku licencyjnym)"," ")</f>
        <v xml:space="preserve"> </v>
      </c>
    </row>
    <row r="71" spans="1:10" s="145" customFormat="1" ht="31.2" x14ac:dyDescent="0.3">
      <c r="A71" s="142" t="s">
        <v>129</v>
      </c>
      <c r="B71" s="143"/>
      <c r="C71" s="143"/>
      <c r="D71" s="143"/>
      <c r="E71" s="144">
        <f>SUM(E69:E70)</f>
        <v>0</v>
      </c>
      <c r="F71" s="62">
        <f t="shared" si="8"/>
        <v>0</v>
      </c>
      <c r="H71" s="146"/>
      <c r="I71" s="147"/>
      <c r="J71" s="147"/>
    </row>
    <row r="72" spans="1:10" x14ac:dyDescent="0.3">
      <c r="A72" s="55" t="s">
        <v>82</v>
      </c>
      <c r="B72" s="77"/>
      <c r="C72" s="77"/>
      <c r="D72" s="77"/>
      <c r="E72" s="78">
        <f>E71+E68</f>
        <v>0</v>
      </c>
      <c r="F72" s="62">
        <v>1</v>
      </c>
    </row>
    <row r="73" spans="1:10" x14ac:dyDescent="0.3">
      <c r="A73" s="56" t="s">
        <v>83</v>
      </c>
      <c r="B73" s="57"/>
      <c r="C73" s="57"/>
      <c r="D73" s="57"/>
      <c r="E73" s="58">
        <f>E72*1.23</f>
        <v>0</v>
      </c>
      <c r="F73" s="62">
        <v>1</v>
      </c>
    </row>
    <row r="74" spans="1:10" x14ac:dyDescent="0.3">
      <c r="A74" s="101" t="s">
        <v>63</v>
      </c>
      <c r="B74" s="101"/>
      <c r="C74" s="28"/>
      <c r="D74" s="28"/>
      <c r="E74" s="28"/>
      <c r="F74" s="62">
        <f>IF(E73&gt;0,1,0)</f>
        <v>0</v>
      </c>
    </row>
    <row r="75" spans="1:10" x14ac:dyDescent="0.3">
      <c r="A75" s="54" t="s">
        <v>64</v>
      </c>
      <c r="B75" s="54"/>
      <c r="C75" s="83"/>
      <c r="D75" s="83"/>
      <c r="E75" s="83"/>
      <c r="F75" s="62">
        <f>IF(E73&gt;0,1,0)</f>
        <v>0</v>
      </c>
    </row>
    <row r="76" spans="1:10" x14ac:dyDescent="0.3">
      <c r="A76" s="54" t="s">
        <v>65</v>
      </c>
      <c r="B76" s="54"/>
      <c r="C76" s="83"/>
      <c r="D76" s="11"/>
      <c r="E76" s="84"/>
      <c r="F76" s="62">
        <f>IF(E73&gt;0,1,0)</f>
        <v>0</v>
      </c>
      <c r="I76" s="63"/>
    </row>
    <row r="77" spans="1:10" x14ac:dyDescent="0.3">
      <c r="A77" s="1"/>
      <c r="B77" s="1"/>
      <c r="C77" s="11"/>
      <c r="D77" s="11"/>
      <c r="E77" s="11"/>
      <c r="F77" s="28"/>
    </row>
    <row r="78" spans="1:10" ht="148.19999999999999" customHeight="1" x14ac:dyDescent="0.3">
      <c r="A78" s="172" t="s">
        <v>136</v>
      </c>
      <c r="B78" s="172"/>
      <c r="C78" s="172"/>
      <c r="D78" s="172"/>
      <c r="E78" s="172"/>
      <c r="F78" s="62">
        <v>1</v>
      </c>
      <c r="G78" s="164"/>
      <c r="H78" s="164"/>
    </row>
    <row r="79" spans="1:10" x14ac:dyDescent="0.3">
      <c r="A79" s="83"/>
      <c r="B79" s="11"/>
      <c r="C79" s="11"/>
      <c r="D79" s="83"/>
      <c r="E79" s="79"/>
      <c r="F79" s="11"/>
    </row>
    <row r="80" spans="1:10" x14ac:dyDescent="0.3">
      <c r="A80" s="83"/>
      <c r="B80" s="11"/>
      <c r="C80" s="11"/>
      <c r="D80" s="11"/>
      <c r="E80" s="11"/>
      <c r="F80" s="11"/>
    </row>
    <row r="81" spans="1:5" s="11" customFormat="1" ht="14.4" x14ac:dyDescent="0.3">
      <c r="E81" s="79"/>
    </row>
    <row r="82" spans="1:5" s="11" customFormat="1" x14ac:dyDescent="0.3">
      <c r="D82" s="88"/>
      <c r="E82" s="82"/>
    </row>
    <row r="83" spans="1:5" s="11" customFormat="1" ht="14.4" x14ac:dyDescent="0.3"/>
    <row r="84" spans="1:5" s="11" customFormat="1" ht="14.4" x14ac:dyDescent="0.3"/>
    <row r="85" spans="1:5" s="11" customFormat="1" ht="14.4" x14ac:dyDescent="0.3"/>
    <row r="86" spans="1:5" s="11" customFormat="1" ht="14.4" x14ac:dyDescent="0.3"/>
    <row r="87" spans="1:5" s="11" customFormat="1" ht="14.4" x14ac:dyDescent="0.3"/>
    <row r="88" spans="1:5" s="11" customFormat="1" ht="14.4" x14ac:dyDescent="0.3"/>
    <row r="89" spans="1:5" s="11" customFormat="1" ht="14.4" x14ac:dyDescent="0.3"/>
    <row r="90" spans="1:5" s="11" customFormat="1" ht="14.4" x14ac:dyDescent="0.3"/>
    <row r="91" spans="1:5" s="11" customFormat="1" ht="14.4" x14ac:dyDescent="0.3"/>
    <row r="92" spans="1:5" s="11" customFormat="1" ht="14.4" x14ac:dyDescent="0.3"/>
    <row r="93" spans="1:5" s="11" customFormat="1" ht="14.4" x14ac:dyDescent="0.3"/>
    <row r="94" spans="1:5" s="11" customFormat="1" ht="14.4" x14ac:dyDescent="0.3"/>
    <row r="95" spans="1:5" s="11" customFormat="1" ht="14.4" x14ac:dyDescent="0.3"/>
    <row r="96" spans="1:5" s="11" customFormat="1" x14ac:dyDescent="0.3">
      <c r="A96" s="62"/>
      <c r="B96" s="62"/>
    </row>
    <row r="97" spans="1:10" s="11" customFormat="1" x14ac:dyDescent="0.3">
      <c r="A97" s="62"/>
      <c r="B97" s="62"/>
      <c r="C97" s="85"/>
      <c r="D97" s="85"/>
      <c r="E97" s="85"/>
    </row>
    <row r="98" spans="1:10" s="11" customFormat="1" x14ac:dyDescent="0.3">
      <c r="A98" s="62"/>
      <c r="B98" s="62"/>
      <c r="C98" s="85"/>
      <c r="D98" s="85"/>
      <c r="E98" s="85"/>
    </row>
    <row r="99" spans="1:10" s="11" customFormat="1" x14ac:dyDescent="0.3">
      <c r="A99" s="62"/>
      <c r="B99" s="62"/>
      <c r="C99" s="85"/>
      <c r="D99" s="85"/>
      <c r="E99" s="86"/>
      <c r="F99" s="28"/>
    </row>
    <row r="100" spans="1:10" s="11" customFormat="1" x14ac:dyDescent="0.3">
      <c r="A100" s="62"/>
      <c r="B100" s="62"/>
      <c r="C100" s="85"/>
      <c r="D100" s="85"/>
      <c r="E100" s="86"/>
      <c r="F100" s="28"/>
    </row>
    <row r="101" spans="1:10" s="11" customFormat="1" x14ac:dyDescent="0.3">
      <c r="A101" s="62"/>
      <c r="B101" s="62"/>
      <c r="C101" s="85"/>
      <c r="D101" s="85"/>
      <c r="E101" s="86"/>
      <c r="F101" s="28"/>
    </row>
    <row r="102" spans="1:10" s="11" customFormat="1" x14ac:dyDescent="0.3">
      <c r="A102" s="62"/>
      <c r="B102" s="62"/>
      <c r="C102" s="85"/>
      <c r="D102" s="85"/>
      <c r="E102" s="86"/>
      <c r="F102" s="28"/>
    </row>
    <row r="103" spans="1:10" s="11" customFormat="1" x14ac:dyDescent="0.3">
      <c r="A103" s="62"/>
      <c r="B103" s="62"/>
      <c r="C103" s="85"/>
      <c r="D103" s="85"/>
      <c r="E103" s="86"/>
      <c r="F103" s="28"/>
    </row>
    <row r="104" spans="1:10" s="11" customFormat="1" x14ac:dyDescent="0.3">
      <c r="A104" s="62"/>
      <c r="B104" s="62"/>
      <c r="C104" s="85"/>
      <c r="D104" s="85"/>
      <c r="E104" s="87"/>
      <c r="F104" s="28"/>
    </row>
    <row r="105" spans="1:10" x14ac:dyDescent="0.3">
      <c r="C105" s="88"/>
      <c r="D105" s="85"/>
      <c r="E105" s="85"/>
      <c r="F105" s="28"/>
    </row>
    <row r="106" spans="1:10" x14ac:dyDescent="0.3">
      <c r="C106" s="85"/>
      <c r="D106" s="85"/>
      <c r="E106" s="88"/>
      <c r="F106" s="28"/>
    </row>
    <row r="107" spans="1:10" x14ac:dyDescent="0.3">
      <c r="C107" s="85"/>
      <c r="D107" s="85"/>
      <c r="E107" s="85"/>
      <c r="F107" s="28"/>
    </row>
    <row r="108" spans="1:10" x14ac:dyDescent="0.3">
      <c r="C108" s="85"/>
      <c r="D108" s="85"/>
      <c r="E108" s="89"/>
      <c r="F108" s="28"/>
      <c r="G108" s="74"/>
      <c r="H108" s="62"/>
      <c r="I108" s="62"/>
      <c r="J108" s="62"/>
    </row>
    <row r="109" spans="1:10" x14ac:dyDescent="0.3">
      <c r="C109" s="85"/>
      <c r="D109" s="85"/>
      <c r="E109" s="90"/>
      <c r="F109" s="28"/>
      <c r="G109" s="74"/>
      <c r="H109" s="62"/>
      <c r="I109" s="62"/>
      <c r="J109" s="62"/>
    </row>
    <row r="110" spans="1:10" x14ac:dyDescent="0.3">
      <c r="C110" s="85"/>
      <c r="D110" s="85"/>
      <c r="E110" s="85"/>
      <c r="F110" s="28"/>
      <c r="G110" s="74"/>
      <c r="H110" s="62"/>
      <c r="I110" s="62"/>
      <c r="J110" s="62"/>
    </row>
    <row r="111" spans="1:10" x14ac:dyDescent="0.3">
      <c r="C111" s="85"/>
      <c r="D111" s="85"/>
      <c r="E111" s="87"/>
      <c r="F111" s="28"/>
      <c r="G111" s="74"/>
      <c r="H111" s="62"/>
      <c r="I111" s="62"/>
      <c r="J111" s="62"/>
    </row>
    <row r="112" spans="1:10" x14ac:dyDescent="0.3">
      <c r="C112" s="85"/>
      <c r="D112" s="85"/>
      <c r="E112" s="85"/>
      <c r="F112" s="28"/>
    </row>
    <row r="113" spans="3:6" x14ac:dyDescent="0.3">
      <c r="C113" s="85"/>
      <c r="D113" s="85"/>
      <c r="E113" s="91"/>
      <c r="F113" s="28"/>
    </row>
  </sheetData>
  <sheetProtection formatCells="0"/>
  <autoFilter ref="F1:F113"/>
  <mergeCells count="22">
    <mergeCell ref="A51:B51"/>
    <mergeCell ref="A52:B52"/>
    <mergeCell ref="A53:B53"/>
    <mergeCell ref="A54:B54"/>
    <mergeCell ref="A78:E78"/>
    <mergeCell ref="A45:B45"/>
    <mergeCell ref="A46:B46"/>
    <mergeCell ref="A47:B47"/>
    <mergeCell ref="A48:B48"/>
    <mergeCell ref="A50:B50"/>
    <mergeCell ref="A49:B49"/>
    <mergeCell ref="A39:B39"/>
    <mergeCell ref="A40:B40"/>
    <mergeCell ref="A41:B41"/>
    <mergeCell ref="A43:B43"/>
    <mergeCell ref="A44:B44"/>
    <mergeCell ref="A42:B42"/>
    <mergeCell ref="A34:B34"/>
    <mergeCell ref="A35:B35"/>
    <mergeCell ref="A36:B36"/>
    <mergeCell ref="A37:B37"/>
    <mergeCell ref="A38:B38"/>
  </mergeCells>
  <dataValidations xWindow="392" yWindow="544" count="26">
    <dataValidation allowBlank="1" showInputMessage="1" showErrorMessage="1" prompt="wpisz liczbę stanowisk" sqref="D25"/>
    <dataValidation allowBlank="1" showInputMessage="1" showErrorMessage="1" prompt="wpisz liczbę fizycznych użytkowników" sqref="B92"/>
    <dataValidation allowBlank="1" showInputMessage="1" showErrorMessage="1" prompt="wpisz liczbę wszystkich użytkowników fizycznych" sqref="B69 B71"/>
    <dataValidation allowBlank="1" showInputMessage="1" showErrorMessage="1" prompt="wpisz liczbę kont utworzonych w Pulpicie Pracownika_x000a_lub sumę kont utworzonych w Pulpicie Pracownika i Kontrahenta " sqref="B70"/>
    <dataValidation allowBlank="1" showInputMessage="1" showErrorMessage="1" prompt="wymaga: Księgi Podatkowej lub Księgi Handlowej" sqref="D8"/>
    <dataValidation allowBlank="1" showInputMessage="1" showErrorMessage="1" prompt="dowolny moduł, który chcemy &quot;poglądać&quot;" sqref="D22"/>
    <dataValidation allowBlank="1" showInputMessage="1" showErrorMessage="1" prompt="na licencji musi być inny, dowolny moduł, którego działanie chcemy oprocesować" sqref="D19"/>
    <dataValidation allowBlank="1" showInputMessage="1" showErrorMessage="1" prompt="wymaga min. 1 st. Handlu złotego" sqref="D12"/>
    <dataValidation allowBlank="1" showInputMessage="1" showErrorMessage="1" prompt="wymaga by na licencji było min. po 1 st. Handlu i CRM złotego" sqref="D11"/>
    <dataValidation allowBlank="1" showInputMessage="1" showErrorMessage="1" prompt="wymaga: Ewidencji Środków pieniężnych, dowolny moduł samodzielny min. w wersji srebrnej (patrz powyżej zaznaczone na zielono)" sqref="D23"/>
    <dataValidation allowBlank="1" showInputMessage="1" showErrorMessage="1" prompt="można dokupić jeżeli na licencji jest już min. jedno stanowsiko dowolnego modułu samodzielnego min. w wersji srebrnej (patrz powyżej zaznaczone na zielono)" sqref="D7"/>
    <dataValidation type="list" allowBlank="1" showInputMessage="1" showErrorMessage="1" prompt="dowolny moduł min. w wersji złotej_x000a_(przynajmniej jedno, dowolne stanowsiko w ramach licencji Klienta musi być złote)" sqref="D32 D52:D54">
      <formula1>Opcja</formula1>
    </dataValidation>
    <dataValidation type="list" allowBlank="1" showInputMessage="1" showErrorMessage="1" prompt="wymaga:_x000a_Faktury min. złote_x000a_lub Handel min. złoty" sqref="D30">
      <formula1>Opcja</formula1>
    </dataValidation>
    <dataValidation type="list" allowBlank="1" showInputMessage="1" showErrorMessage="1" prompt="wymaga:_x000a_CRM min. złoty_x000a_lub Projekty min. złote" sqref="D31">
      <formula1>Opcja</formula1>
    </dataValidation>
    <dataValidation type="list" allowBlank="1" showInputMessage="1" showErrorMessage="1" prompt="wymaga:_x000a_Księga Handlowa min. złota_x000a_lub Księga Podatkowa" sqref="D29 D46:D47">
      <formula1>Opcja</formula1>
    </dataValidation>
    <dataValidation type="list" allowBlank="1" showInputMessage="1" showErrorMessage="1" prompt="wymaga: Ewidencji Środków pieniężnych, dowolny moduł samodzielny min. w wersji srebrnej (patrz powyżej zaznaczone na zielono)" sqref="D44:D45">
      <formula1>Opcja</formula1>
    </dataValidation>
    <dataValidation type="list" allowBlank="1" showInputMessage="1" showErrorMessage="1" prompt="wymaga:_x000a_Księga Handlowa min. złota" sqref="D43">
      <formula1>Opcja</formula1>
    </dataValidation>
    <dataValidation type="list" allowBlank="1" showInputMessage="1" showErrorMessage="1" prompt="dowolny moduł min. w wersji złotej_x000a_(przynajmniej jedno, dowolne stanowsiko w ramach licencji Klienta musi być multi)" sqref="D49">
      <formula1>Opcja</formula1>
    </dataValidation>
    <dataValidation type="list" allowBlank="1" showInputMessage="1" showErrorMessage="1" prompt="wymaga:_x000a_Faktury min. srebrne_x000a_lub Handel min. srebrny" sqref="D48 D50">
      <formula1>Opcja</formula1>
    </dataValidation>
    <dataValidation type="list" allowBlank="1" showInputMessage="1" showErrorMessage="1" prompt="wymaga Workflow min. w platynie_x000a_oraz innego Pulpitu" sqref="B65">
      <formula1>Opcja</formula1>
    </dataValidation>
    <dataValidation type="list" allowBlank="1" showInputMessage="1" showErrorMessage="1" prompt="wymaga Handlu min. w złocie_x000a_lun CRM min. w złocie" sqref="B64">
      <formula1>Opcja</formula1>
    </dataValidation>
    <dataValidation type="list" allowBlank="1" showInputMessage="1" showErrorMessage="1" prompt="wymaga Pulpitu _x000a_Pracownika" sqref="B66 B63">
      <formula1>Opcja</formula1>
    </dataValidation>
    <dataValidation type="list" allowBlank="1" showInputMessage="1" showErrorMessage="1" prompt="wymaga Kadr Płac min. w złocie" sqref="B62">
      <formula1>Opcja</formula1>
    </dataValidation>
    <dataValidation allowBlank="1" showInputMessage="1" showErrorMessage="1" prompt="wpisz liczbę kierowników" sqref="D63"/>
    <dataValidation type="list" allowBlank="1" showInputMessage="1" showErrorMessage="1" prompt="wymaga:_x000a_Kadry Płace min. złote" sqref="D28 D35:D42">
      <formula1>Opcja</formula1>
    </dataValidation>
    <dataValidation type="list" allowBlank="1" showInputMessage="1" showErrorMessage="1" prompt="wymaga:_x000a_Handel min. złoty" sqref="D51">
      <formula1>Opcja</formula1>
    </dataValidation>
  </dataValidations>
  <pageMargins left="0.7" right="0.7" top="0.75" bottom="0.75" header="0.3" footer="0.3"/>
  <pageSetup paperSize="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392" yWindow="544" count="10">
        <x14:dataValidation type="list" allowBlank="1" showInputMessage="1" showErrorMessage="1" prompt="wybierz przedział">
          <x14:formula1>
            <xm:f>'Cennik enova365'!$A$83:$A$88</xm:f>
          </x14:formula1>
          <xm:sqref>D65</xm:sqref>
        </x14:dataValidation>
        <x14:dataValidation type="list" allowBlank="1" showInputMessage="1" showErrorMessage="1">
          <x14:formula1>
            <xm:f>'Cennik enova365'!$I$18:$I$22</xm:f>
          </x14:formula1>
          <xm:sqref>D58</xm:sqref>
        </x14:dataValidation>
        <x14:dataValidation type="list" allowBlank="1" showInputMessage="1" showErrorMessage="1">
          <x14:formula1>
            <xm:f>'Cennik enova365'!$I$14:$I$15</xm:f>
          </x14:formula1>
          <xm:sqref>B58:B59</xm:sqref>
        </x14:dataValidation>
        <x14:dataValidation type="list" allowBlank="1" showInputMessage="1" showErrorMessage="1">
          <x14:formula1>
            <xm:f>'Cennik enova365'!$I$2:$I$4</xm:f>
          </x14:formula1>
          <xm:sqref>B3 B6:B7 B9:B10 B13:B14 B16 B22</xm:sqref>
        </x14:dataValidation>
        <x14:dataValidation type="list" allowBlank="1" showInputMessage="1" showErrorMessage="1">
          <x14:formula1>
            <xm:f>'Cennik enova365'!$J$2:$J$3</xm:f>
          </x14:formula1>
          <xm:sqref>B4</xm:sqref>
        </x14:dataValidation>
        <x14:dataValidation type="list" allowBlank="1" showInputMessage="1" showErrorMessage="1">
          <x14:formula1>
            <xm:f>'Cennik enova365'!$I$3:$I$4</xm:f>
          </x14:formula1>
          <xm:sqref>B5 B8 B11:B12 B15 B17:B20 B23:B25</xm:sqref>
        </x14:dataValidation>
        <x14:dataValidation type="list" allowBlank="1" showInputMessage="1" showErrorMessage="1">
          <x14:formula1>
            <xm:f>'Cennik enova365'!$I$25:$I$30</xm:f>
          </x14:formula1>
          <xm:sqref>D59</xm:sqref>
        </x14:dataValidation>
        <x14:dataValidation type="list" allowBlank="1" showInputMessage="1" showErrorMessage="1">
          <x14:formula1>
            <xm:f>'Cennik enova365'!$I$18:$I$19</xm:f>
          </x14:formula1>
          <xm:sqref>I35</xm:sqref>
        </x14:dataValidation>
        <x14:dataValidation type="list" allowBlank="1" showInputMessage="1" showErrorMessage="1" prompt="wybierz przedział">
          <x14:formula1>
            <xm:f>'Cennik enova365'!$A$61:$A$66</xm:f>
          </x14:formula1>
          <xm:sqref>D62</xm:sqref>
        </x14:dataValidation>
        <x14:dataValidation type="list" allowBlank="1" showInputMessage="1" showErrorMessage="1" prompt="wybierz przedział">
          <x14:formula1>
            <xm:f>'Cennik enova365'!$A$75:$A$80</xm:f>
          </x14:formula1>
          <xm:sqref>D64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13"/>
  <sheetViews>
    <sheetView zoomScale="90" zoomScaleNormal="90" zoomScalePageLayoutView="90" workbookViewId="0">
      <selection activeCell="B66" sqref="B66"/>
    </sheetView>
  </sheetViews>
  <sheetFormatPr defaultColWidth="9.109375" defaultRowHeight="15.6" x14ac:dyDescent="0.3"/>
  <cols>
    <col min="1" max="1" width="48.5546875" style="62" customWidth="1"/>
    <col min="2" max="2" width="12.33203125" style="62" customWidth="1"/>
    <col min="3" max="3" width="18.33203125" style="62" customWidth="1"/>
    <col min="4" max="4" width="13.33203125" style="62" customWidth="1"/>
    <col min="5" max="5" width="18.88671875" style="62" customWidth="1"/>
    <col min="6" max="6" width="11.6640625" style="62" customWidth="1"/>
    <col min="7" max="7" width="9.109375" style="62"/>
    <col min="8" max="8" width="76.6640625" style="74" bestFit="1" customWidth="1"/>
    <col min="9" max="10" width="6.44140625" style="74" customWidth="1"/>
    <col min="11" max="11" width="6.44140625" style="62" customWidth="1"/>
    <col min="12" max="13" width="6.44140625" style="62" hidden="1" customWidth="1"/>
    <col min="14" max="14" width="6.44140625" style="62" customWidth="1"/>
    <col min="15" max="16384" width="9.109375" style="62"/>
  </cols>
  <sheetData>
    <row r="1" spans="1:15" ht="78" x14ac:dyDescent="0.3">
      <c r="A1" s="20" t="s">
        <v>7</v>
      </c>
      <c r="B1" s="21" t="s">
        <v>52</v>
      </c>
      <c r="C1" s="22" t="s">
        <v>66</v>
      </c>
      <c r="D1" s="23" t="s">
        <v>130</v>
      </c>
      <c r="E1" s="24" t="s">
        <v>8</v>
      </c>
      <c r="F1" s="60" t="s">
        <v>15</v>
      </c>
      <c r="H1" s="159" t="s">
        <v>134</v>
      </c>
      <c r="K1" s="11"/>
      <c r="L1" s="11"/>
      <c r="M1" s="11"/>
    </row>
    <row r="2" spans="1:15" x14ac:dyDescent="0.3">
      <c r="A2" s="65" t="s">
        <v>9</v>
      </c>
      <c r="B2" s="66"/>
      <c r="C2" s="25"/>
      <c r="D2" s="26"/>
      <c r="E2" s="27"/>
      <c r="F2" s="62">
        <f>IF(E26&gt;0,1,0)</f>
        <v>0</v>
      </c>
      <c r="K2" s="11"/>
      <c r="L2" s="11"/>
      <c r="M2" s="11"/>
    </row>
    <row r="3" spans="1:15" x14ac:dyDescent="0.3">
      <c r="A3" s="156" t="s">
        <v>22</v>
      </c>
      <c r="B3" s="29" t="s">
        <v>2</v>
      </c>
      <c r="C3" s="30">
        <f>IF(B3="srebro",'Cennik enova365'!E7,(IF(B3="złoto",'Cennik enova365'!F7,IF(B3= "platyna",'Cennik enova365'!G7))))</f>
        <v>1953</v>
      </c>
      <c r="D3" s="31">
        <v>0</v>
      </c>
      <c r="E3" s="32">
        <f t="shared" ref="E3:E20" si="0">D3*C3</f>
        <v>0</v>
      </c>
      <c r="F3" s="62">
        <f t="shared" ref="F3:F34" si="1">IF(E3&gt;0,1,0)</f>
        <v>0</v>
      </c>
      <c r="H3" s="67"/>
      <c r="I3" s="67"/>
      <c r="J3" s="67"/>
      <c r="K3" s="11"/>
      <c r="L3" s="11">
        <f>IF(AND(OR(B3="złoto",B3="srebro"),E3&gt;0),1,0)</f>
        <v>0</v>
      </c>
      <c r="M3" s="11"/>
      <c r="N3" s="68"/>
      <c r="O3" s="68"/>
    </row>
    <row r="4" spans="1:15" x14ac:dyDescent="0.3">
      <c r="A4" s="157" t="s">
        <v>23</v>
      </c>
      <c r="B4" s="29" t="s">
        <v>0</v>
      </c>
      <c r="C4" s="30">
        <f>IF(B4="srebro",'Cennik enova365'!E8,(IF(B4="złoto",'Cennik enova365'!F8,IF(B4= "platyna",'Cennik enova365'!G8))))</f>
        <v>313</v>
      </c>
      <c r="D4" s="31">
        <v>0</v>
      </c>
      <c r="E4" s="32">
        <f t="shared" si="0"/>
        <v>0</v>
      </c>
      <c r="F4" s="62">
        <f t="shared" si="1"/>
        <v>0</v>
      </c>
      <c r="H4" s="159"/>
      <c r="I4" s="67"/>
      <c r="J4" s="67"/>
      <c r="K4" s="11"/>
      <c r="L4" s="11">
        <f t="shared" ref="L4:L25" si="2">IF(AND(OR(B4="złoto",B4="srebro"),E4&gt;0),1,0)</f>
        <v>0</v>
      </c>
      <c r="M4" s="11"/>
      <c r="N4" s="68"/>
      <c r="O4" s="68"/>
    </row>
    <row r="5" spans="1:15" x14ac:dyDescent="0.3">
      <c r="A5" s="157" t="s">
        <v>25</v>
      </c>
      <c r="B5" s="29" t="s">
        <v>2</v>
      </c>
      <c r="C5" s="30">
        <f>IF(B5="srebro",'Cennik enova365'!E9,(IF(B5="złoto",'Cennik enova365'!F9,IF(B5= "platyna",'Cennik enova365'!G9))))</f>
        <v>1474</v>
      </c>
      <c r="D5" s="31">
        <v>0</v>
      </c>
      <c r="E5" s="32">
        <f>IF(AND((D4&gt;0),(D5)&gt;0),"usuń Ks. Podatkową",D5*C5)</f>
        <v>0</v>
      </c>
      <c r="F5" s="62">
        <f t="shared" si="1"/>
        <v>0</v>
      </c>
      <c r="H5" s="160" t="str">
        <f>IF(E5="usuń Ks. Podatkową","Ks. Podatkowej i Handlowej nie można łączyć w ramach jednej licencji"," ")</f>
        <v xml:space="preserve"> </v>
      </c>
      <c r="I5" s="67"/>
      <c r="J5" s="67"/>
      <c r="K5" s="11"/>
      <c r="L5" s="11">
        <f t="shared" si="2"/>
        <v>0</v>
      </c>
      <c r="M5" s="11"/>
      <c r="N5" s="68"/>
      <c r="O5" s="68"/>
    </row>
    <row r="6" spans="1:15" x14ac:dyDescent="0.3">
      <c r="A6" s="157" t="s">
        <v>24</v>
      </c>
      <c r="B6" s="29" t="s">
        <v>2</v>
      </c>
      <c r="C6" s="30">
        <f>IF(B6="srebro",'Cennik enova365'!E10,(IF(B6="złoto",'Cennik enova365'!F10,IF(B6= "platyna",'Cennik enova365'!G10))))</f>
        <v>580</v>
      </c>
      <c r="D6" s="31">
        <v>0</v>
      </c>
      <c r="E6" s="32">
        <f t="shared" si="0"/>
        <v>0</v>
      </c>
      <c r="F6" s="62">
        <f t="shared" si="1"/>
        <v>0</v>
      </c>
      <c r="H6" s="160" t="str">
        <f>IF(B6="platyna"," ",IF(AND(D4&gt;0,D5&gt;0,B6&lt;&gt;B5),"w tej konfiguracji Ks. Inwentarzowa musi mieć taki sam kolor jak Ks. Handlowa",IF(D6=0," ",IF(AND(D5&gt;0,B6&lt;&gt;B5),"Ks. Inwentarzowa musi mieć taki sam kolor jak Ks. Handlowa",IF(AND(D4&gt;0,D5=0,B4&lt;&gt;B6),"Ks. Inwentarzowa musi mieć taki sam kolor jak Ks. Podatkowa"," ")))))</f>
        <v xml:space="preserve"> </v>
      </c>
      <c r="I6" s="67"/>
      <c r="J6" s="67"/>
      <c r="K6" s="11"/>
      <c r="L6" s="11">
        <f t="shared" si="2"/>
        <v>0</v>
      </c>
      <c r="M6" s="11"/>
      <c r="N6" s="68"/>
      <c r="O6" s="68"/>
    </row>
    <row r="7" spans="1:15" ht="31.2" x14ac:dyDescent="0.3">
      <c r="A7" s="92" t="s">
        <v>69</v>
      </c>
      <c r="B7" s="29" t="s">
        <v>2</v>
      </c>
      <c r="C7" s="30">
        <f>IF(B7="srebro",'Cennik enova365'!E11,(IF(B7="złoto",'Cennik enova365'!F11,IF(B7= "platyna",'Cennik enova365'!G11))))</f>
        <v>234</v>
      </c>
      <c r="D7" s="31">
        <v>0</v>
      </c>
      <c r="E7" s="32">
        <f t="shared" si="0"/>
        <v>0</v>
      </c>
      <c r="F7" s="62">
        <f t="shared" si="1"/>
        <v>0</v>
      </c>
      <c r="H7" s="159"/>
      <c r="I7" s="67"/>
      <c r="J7" s="67"/>
      <c r="K7" s="11"/>
      <c r="L7" s="11">
        <f t="shared" si="2"/>
        <v>0</v>
      </c>
      <c r="M7" s="11"/>
      <c r="N7" s="68"/>
      <c r="O7" s="68"/>
    </row>
    <row r="8" spans="1:15" x14ac:dyDescent="0.3">
      <c r="A8" s="92" t="s">
        <v>73</v>
      </c>
      <c r="B8" s="29" t="s">
        <v>2</v>
      </c>
      <c r="C8" s="30">
        <f>IF(B8="srebro",'Cennik enova365'!E12,(IF(B8="złoto",'Cennik enova365'!F12,IF(B8= "platyna",'Cennik enova365'!G12))))</f>
        <v>502</v>
      </c>
      <c r="D8" s="31">
        <v>0</v>
      </c>
      <c r="E8" s="32">
        <f t="shared" si="0"/>
        <v>0</v>
      </c>
      <c r="F8" s="62">
        <f t="shared" si="1"/>
        <v>0</v>
      </c>
      <c r="H8" s="159"/>
      <c r="I8" s="67"/>
      <c r="J8" s="67"/>
      <c r="K8" s="11"/>
      <c r="L8" s="11">
        <f t="shared" si="2"/>
        <v>0</v>
      </c>
      <c r="M8" s="11"/>
      <c r="N8" s="68"/>
      <c r="O8" s="68"/>
    </row>
    <row r="9" spans="1:15" x14ac:dyDescent="0.3">
      <c r="A9" s="157" t="s">
        <v>26</v>
      </c>
      <c r="B9" s="29" t="s">
        <v>2</v>
      </c>
      <c r="C9" s="30">
        <f>IF(B9="srebro",'Cennik enova365'!E13,(IF(B9="złoto",'Cennik enova365'!F13,IF(B9= "platyna",'Cennik enova365'!G13))))</f>
        <v>290</v>
      </c>
      <c r="D9" s="31">
        <v>0</v>
      </c>
      <c r="E9" s="32">
        <f t="shared" si="0"/>
        <v>0</v>
      </c>
      <c r="F9" s="62">
        <f t="shared" si="1"/>
        <v>0</v>
      </c>
      <c r="H9" s="67"/>
      <c r="I9" s="67"/>
      <c r="J9" s="67"/>
      <c r="K9" s="11"/>
      <c r="L9" s="11">
        <f t="shared" si="2"/>
        <v>0</v>
      </c>
      <c r="M9" s="11"/>
      <c r="N9" s="68"/>
      <c r="O9" s="68"/>
    </row>
    <row r="10" spans="1:15" x14ac:dyDescent="0.3">
      <c r="A10" s="157" t="s">
        <v>27</v>
      </c>
      <c r="B10" s="29" t="s">
        <v>2</v>
      </c>
      <c r="C10" s="30">
        <f>IF(B10="srebro",'Cennik enova365'!E14,(IF(B10="złoto",'Cennik enova365'!F14,IF(B10= "platyna",'Cennik enova365'!G14))))</f>
        <v>871</v>
      </c>
      <c r="D10" s="31">
        <v>0</v>
      </c>
      <c r="E10" s="32">
        <f>IF(AND((D9&gt;0),(D10&gt;0)),"usuń Faktury",D10*C10)</f>
        <v>0</v>
      </c>
      <c r="F10" s="62">
        <f t="shared" si="1"/>
        <v>0</v>
      </c>
      <c r="H10" s="158" t="str">
        <f>IF(E10="usuń Faktury","Faktur i Handlu nie można łączyć w ramach jednej licencji"," ")</f>
        <v xml:space="preserve"> </v>
      </c>
      <c r="I10" s="67"/>
      <c r="J10" s="67"/>
      <c r="K10" s="11"/>
      <c r="L10" s="11">
        <f t="shared" si="2"/>
        <v>0</v>
      </c>
      <c r="M10" s="11"/>
      <c r="N10" s="68"/>
      <c r="O10" s="68"/>
    </row>
    <row r="11" spans="1:15" x14ac:dyDescent="0.3">
      <c r="A11" s="59" t="s">
        <v>77</v>
      </c>
      <c r="B11" s="29" t="s">
        <v>2</v>
      </c>
      <c r="C11" s="30">
        <f>IF(B11="srebro",'Cennik enova365'!E15,(IF(B11="złoto",'Cennik enova365'!F15,IF(B11= "platyna",'Cennik enova365'!G15))))</f>
        <v>926</v>
      </c>
      <c r="D11" s="31">
        <v>0</v>
      </c>
      <c r="E11" s="32">
        <f t="shared" si="0"/>
        <v>0</v>
      </c>
      <c r="F11" s="62">
        <f t="shared" si="1"/>
        <v>0</v>
      </c>
      <c r="H11" s="67"/>
      <c r="I11" s="67"/>
      <c r="J11" s="67"/>
      <c r="K11" s="11"/>
      <c r="L11" s="11">
        <f t="shared" si="2"/>
        <v>0</v>
      </c>
      <c r="M11" s="11"/>
      <c r="N11" s="68"/>
      <c r="O11" s="68"/>
    </row>
    <row r="12" spans="1:15" x14ac:dyDescent="0.3">
      <c r="A12" s="59" t="s">
        <v>28</v>
      </c>
      <c r="B12" s="29" t="s">
        <v>2</v>
      </c>
      <c r="C12" s="30">
        <f>IF(B12="srebro",'Cennik enova365'!E16,(IF(B12="złoto",'Cennik enova365'!F16,IF(B12= "platyna",'Cennik enova365'!G16))))</f>
        <v>1161</v>
      </c>
      <c r="D12" s="31">
        <v>0</v>
      </c>
      <c r="E12" s="32">
        <f t="shared" si="0"/>
        <v>0</v>
      </c>
      <c r="F12" s="62">
        <f t="shared" si="1"/>
        <v>0</v>
      </c>
      <c r="H12" s="67"/>
      <c r="I12" s="67"/>
      <c r="J12" s="67"/>
      <c r="K12" s="11"/>
      <c r="L12" s="11">
        <f t="shared" si="2"/>
        <v>0</v>
      </c>
      <c r="M12" s="11"/>
      <c r="N12" s="68"/>
      <c r="O12" s="68"/>
    </row>
    <row r="13" spans="1:15" x14ac:dyDescent="0.3">
      <c r="A13" s="157" t="s">
        <v>29</v>
      </c>
      <c r="B13" s="29" t="s">
        <v>2</v>
      </c>
      <c r="C13" s="30">
        <f>IF(B13="srebro",'Cennik enova365'!E17,(IF(B13="złoto",'Cennik enova365'!F17,IF(B13= "platyna",'Cennik enova365'!G17))))</f>
        <v>536</v>
      </c>
      <c r="D13" s="31">
        <v>0</v>
      </c>
      <c r="E13" s="32">
        <f t="shared" si="0"/>
        <v>0</v>
      </c>
      <c r="F13" s="62">
        <f t="shared" si="1"/>
        <v>0</v>
      </c>
      <c r="H13" s="159" t="str">
        <f>IF(D13&gt;0,"zawiera pełną funcjonalność e-mail"," ")</f>
        <v xml:space="preserve"> </v>
      </c>
      <c r="I13" s="67"/>
      <c r="J13" s="67"/>
      <c r="K13" s="11"/>
      <c r="L13" s="11">
        <f t="shared" si="2"/>
        <v>0</v>
      </c>
      <c r="M13" s="11"/>
      <c r="N13" s="68"/>
      <c r="O13" s="68"/>
    </row>
    <row r="14" spans="1:15" x14ac:dyDescent="0.3">
      <c r="A14" s="157" t="s">
        <v>30</v>
      </c>
      <c r="B14" s="29" t="s">
        <v>2</v>
      </c>
      <c r="C14" s="30">
        <f>IF(B14="srebro",'Cennik enova365'!E18,(IF(B14="złoto",'Cennik enova365'!F18,IF(B14= "platyna",'Cennik enova365'!G18))))</f>
        <v>402</v>
      </c>
      <c r="D14" s="31">
        <v>0</v>
      </c>
      <c r="E14" s="32">
        <f t="shared" si="0"/>
        <v>0</v>
      </c>
      <c r="F14" s="62">
        <f t="shared" si="1"/>
        <v>0</v>
      </c>
      <c r="H14" s="159"/>
      <c r="I14" s="67"/>
      <c r="J14" s="67"/>
      <c r="K14" s="11"/>
      <c r="L14" s="11">
        <f t="shared" si="2"/>
        <v>0</v>
      </c>
      <c r="M14" s="11"/>
      <c r="N14" s="68"/>
      <c r="O14" s="68"/>
    </row>
    <row r="15" spans="1:15" x14ac:dyDescent="0.3">
      <c r="A15" s="157" t="s">
        <v>31</v>
      </c>
      <c r="B15" s="29" t="s">
        <v>2</v>
      </c>
      <c r="C15" s="30">
        <f>IF(B15="srebro",'Cennik enova365'!E19,(IF(B15="złoto",'Cennik enova365'!F19,IF(B15= "platyna",'Cennik enova365'!G19))))</f>
        <v>458</v>
      </c>
      <c r="D15" s="31">
        <v>0</v>
      </c>
      <c r="E15" s="32">
        <f t="shared" si="0"/>
        <v>0</v>
      </c>
      <c r="F15" s="62">
        <f t="shared" si="1"/>
        <v>0</v>
      </c>
      <c r="H15" s="159"/>
      <c r="I15" s="67"/>
      <c r="J15" s="67"/>
      <c r="K15" s="11"/>
      <c r="L15" s="11">
        <f t="shared" si="2"/>
        <v>0</v>
      </c>
      <c r="M15" s="11"/>
      <c r="N15" s="68"/>
      <c r="O15" s="68"/>
    </row>
    <row r="16" spans="1:15" x14ac:dyDescent="0.3">
      <c r="A16" s="157" t="s">
        <v>32</v>
      </c>
      <c r="B16" s="29" t="s">
        <v>2</v>
      </c>
      <c r="C16" s="30">
        <f>IF(B16="srebro",'Cennik enova365'!E20,(IF(B16="złoto",'Cennik enova365'!F20,IF(B16= "platyna",'Cennik enova365'!G20))))</f>
        <v>402</v>
      </c>
      <c r="D16" s="31">
        <v>0</v>
      </c>
      <c r="E16" s="32">
        <f t="shared" si="0"/>
        <v>0</v>
      </c>
      <c r="F16" s="62">
        <f t="shared" si="1"/>
        <v>0</v>
      </c>
      <c r="H16" s="159"/>
      <c r="I16" s="67"/>
      <c r="J16" s="67"/>
      <c r="K16" s="11"/>
      <c r="L16" s="11">
        <f t="shared" si="2"/>
        <v>0</v>
      </c>
      <c r="M16" s="11"/>
      <c r="N16" s="68"/>
      <c r="O16" s="68"/>
    </row>
    <row r="17" spans="1:15" x14ac:dyDescent="0.3">
      <c r="A17" s="157" t="s">
        <v>33</v>
      </c>
      <c r="B17" s="29" t="s">
        <v>2</v>
      </c>
      <c r="C17" s="30">
        <f>IF(B17="srebro",'Cennik enova365'!E21,(IF(B17="złoto",'Cennik enova365'!F21,IF(B17= "platyna",'Cennik enova365'!G21))))</f>
        <v>402</v>
      </c>
      <c r="D17" s="31">
        <v>0</v>
      </c>
      <c r="E17" s="32">
        <f t="shared" si="0"/>
        <v>0</v>
      </c>
      <c r="F17" s="62">
        <f t="shared" si="1"/>
        <v>0</v>
      </c>
      <c r="H17" s="159"/>
      <c r="I17" s="67"/>
      <c r="J17" s="67"/>
      <c r="K17" s="11"/>
      <c r="L17" s="11">
        <f t="shared" si="2"/>
        <v>0</v>
      </c>
      <c r="M17" s="11"/>
      <c r="N17" s="68"/>
      <c r="O17" s="68"/>
    </row>
    <row r="18" spans="1:15" x14ac:dyDescent="0.3">
      <c r="A18" s="157" t="s">
        <v>35</v>
      </c>
      <c r="B18" s="29" t="s">
        <v>2</v>
      </c>
      <c r="C18" s="30">
        <f>IF(B18="srebro",'Cennik enova365'!E22,(IF(B18="złoto",'Cennik enova365'!F22,IF(B18= "platyna",'Cennik enova365'!G22))))</f>
        <v>982</v>
      </c>
      <c r="D18" s="31">
        <v>0</v>
      </c>
      <c r="E18" s="32">
        <f t="shared" si="0"/>
        <v>0</v>
      </c>
      <c r="F18" s="62">
        <f t="shared" si="1"/>
        <v>0</v>
      </c>
      <c r="H18" s="159" t="str">
        <f>IF(D18&gt;0,"zawiera pełną funcjonalność CRM oraz e-mail"," ")</f>
        <v xml:space="preserve"> </v>
      </c>
      <c r="I18" s="67"/>
      <c r="J18" s="67"/>
      <c r="K18" s="11"/>
      <c r="L18" s="11">
        <f t="shared" si="2"/>
        <v>0</v>
      </c>
      <c r="M18" s="11"/>
      <c r="N18" s="68"/>
      <c r="O18" s="68"/>
    </row>
    <row r="19" spans="1:15" x14ac:dyDescent="0.3">
      <c r="A19" s="59" t="s">
        <v>34</v>
      </c>
      <c r="B19" s="29" t="s">
        <v>4</v>
      </c>
      <c r="C19" s="30">
        <f>IF(B19="srebro",'Cennik enova365'!E23,(IF(B19="złoto",'Cennik enova365'!F23,IF(B19= "platyna",'Cennik enova365'!G23))))</f>
        <v>279</v>
      </c>
      <c r="D19" s="31">
        <v>0</v>
      </c>
      <c r="E19" s="32">
        <f t="shared" si="0"/>
        <v>0</v>
      </c>
      <c r="F19" s="62">
        <f t="shared" si="1"/>
        <v>0</v>
      </c>
      <c r="H19" s="67"/>
      <c r="I19" s="67"/>
      <c r="J19" s="67"/>
      <c r="K19" s="11"/>
      <c r="L19" s="11">
        <f t="shared" si="2"/>
        <v>0</v>
      </c>
      <c r="M19" s="11"/>
      <c r="N19" s="68"/>
      <c r="O19" s="68"/>
    </row>
    <row r="20" spans="1:15" x14ac:dyDescent="0.3">
      <c r="A20" s="59" t="s">
        <v>67</v>
      </c>
      <c r="B20" s="29" t="s">
        <v>2</v>
      </c>
      <c r="C20" s="30">
        <f>IF(B20="srebro",'Cennik enova365'!E24,(IF(B20="złoto",'Cennik enova365'!F24,IF(B20= "platyna",'Cennik enova365'!G24))))</f>
        <v>179</v>
      </c>
      <c r="D20" s="31">
        <v>0</v>
      </c>
      <c r="E20" s="32">
        <f t="shared" si="0"/>
        <v>0</v>
      </c>
      <c r="F20" s="62">
        <f t="shared" si="1"/>
        <v>0</v>
      </c>
      <c r="H20" s="67"/>
      <c r="I20" s="67"/>
      <c r="J20" s="67"/>
      <c r="K20" s="11"/>
      <c r="L20" s="11">
        <f t="shared" si="2"/>
        <v>0</v>
      </c>
      <c r="M20" s="11"/>
      <c r="N20" s="68"/>
      <c r="O20" s="68"/>
    </row>
    <row r="21" spans="1:15" x14ac:dyDescent="0.3">
      <c r="A21" s="59" t="s">
        <v>68</v>
      </c>
      <c r="B21" s="81"/>
      <c r="C21" s="30">
        <f>'Cennik enova365'!F25</f>
        <v>1161</v>
      </c>
      <c r="D21" s="81"/>
      <c r="E21" s="32">
        <f>IF(OR((AND(B19="platyna",D19&gt;0)),D20&gt;0),C21,0)</f>
        <v>0</v>
      </c>
      <c r="F21" s="62">
        <f t="shared" si="1"/>
        <v>0</v>
      </c>
      <c r="H21" s="67"/>
      <c r="I21" s="67"/>
      <c r="J21" s="67"/>
      <c r="K21" s="11"/>
      <c r="L21" s="11">
        <f t="shared" si="2"/>
        <v>0</v>
      </c>
      <c r="M21" s="11"/>
      <c r="N21" s="68"/>
      <c r="O21" s="68"/>
    </row>
    <row r="22" spans="1:15" x14ac:dyDescent="0.3">
      <c r="A22" s="59" t="s">
        <v>36</v>
      </c>
      <c r="B22" s="29" t="s">
        <v>2</v>
      </c>
      <c r="C22" s="30">
        <f>IF(B22="srebro",'Cennik enova365'!E26,(IF(B22="złoto",'Cennik enova365'!F26,IF(B22= "platyna",'Cennik enova365'!G26))))</f>
        <v>402</v>
      </c>
      <c r="D22" s="31">
        <v>0</v>
      </c>
      <c r="E22" s="32">
        <f>D22*C22</f>
        <v>0</v>
      </c>
      <c r="F22" s="62">
        <f t="shared" si="1"/>
        <v>0</v>
      </c>
      <c r="H22" s="67"/>
      <c r="I22" s="67"/>
      <c r="J22" s="67"/>
      <c r="K22" s="11"/>
      <c r="L22" s="11">
        <f t="shared" si="2"/>
        <v>0</v>
      </c>
      <c r="M22" s="11"/>
      <c r="N22" s="68"/>
      <c r="O22" s="68"/>
    </row>
    <row r="23" spans="1:15" x14ac:dyDescent="0.3">
      <c r="A23" s="59" t="s">
        <v>37</v>
      </c>
      <c r="B23" s="29" t="s">
        <v>2</v>
      </c>
      <c r="C23" s="30">
        <f>IF(B23="srebro",'Cennik enova365'!E27,(IF(B23="złoto",'Cennik enova365'!F27,IF(B23= "platyna",'Cennik enova365'!G27))))</f>
        <v>458</v>
      </c>
      <c r="D23" s="31">
        <v>0</v>
      </c>
      <c r="E23" s="32">
        <f>D23*C23</f>
        <v>0</v>
      </c>
      <c r="F23" s="62">
        <f t="shared" si="1"/>
        <v>0</v>
      </c>
      <c r="H23" s="67"/>
      <c r="I23" s="67"/>
      <c r="J23" s="67"/>
      <c r="K23" s="11"/>
      <c r="L23" s="11">
        <f t="shared" si="2"/>
        <v>0</v>
      </c>
      <c r="M23" s="11"/>
      <c r="N23" s="68"/>
      <c r="O23" s="68"/>
    </row>
    <row r="24" spans="1:15" x14ac:dyDescent="0.3">
      <c r="A24" s="157" t="s">
        <v>38</v>
      </c>
      <c r="B24" s="29" t="s">
        <v>2</v>
      </c>
      <c r="C24" s="30">
        <f>IF(B24="srebro",'Cennik enova365'!E28,(IF(B24="złoto",'Cennik enova365'!F28,IF(B24= "platyna",'Cennik enova365'!G28))))</f>
        <v>290</v>
      </c>
      <c r="D24" s="31">
        <v>0</v>
      </c>
      <c r="E24" s="32">
        <f>D24*C24</f>
        <v>0</v>
      </c>
      <c r="F24" s="62">
        <f t="shared" si="1"/>
        <v>0</v>
      </c>
      <c r="H24" s="67"/>
      <c r="I24" s="67"/>
      <c r="J24" s="67"/>
      <c r="K24" s="11"/>
      <c r="L24" s="11">
        <f t="shared" si="2"/>
        <v>0</v>
      </c>
      <c r="M24" s="11"/>
      <c r="N24" s="68"/>
      <c r="O24" s="68"/>
    </row>
    <row r="25" spans="1:15" x14ac:dyDescent="0.3">
      <c r="A25" s="59" t="s">
        <v>39</v>
      </c>
      <c r="B25" s="29" t="s">
        <v>2</v>
      </c>
      <c r="C25" s="30">
        <f>IF(B25="srebro",'Cennik enova365'!E29,(IF(B25="złoto",'Cennik enova365'!F29,IF(B25= "platyna",'Cennik enova365'!G29))))</f>
        <v>190</v>
      </c>
      <c r="D25" s="31">
        <v>0</v>
      </c>
      <c r="E25" s="32">
        <f>D25*C25</f>
        <v>0</v>
      </c>
      <c r="F25" s="62">
        <f t="shared" si="1"/>
        <v>0</v>
      </c>
      <c r="H25" s="67"/>
      <c r="I25" s="67"/>
      <c r="J25" s="67"/>
      <c r="K25" s="11"/>
      <c r="L25" s="11">
        <f t="shared" si="2"/>
        <v>0</v>
      </c>
      <c r="M25" s="11">
        <f>SUM(L3:L25)</f>
        <v>0</v>
      </c>
      <c r="N25" s="68"/>
      <c r="O25" s="68"/>
    </row>
    <row r="26" spans="1:15" x14ac:dyDescent="0.3">
      <c r="A26" s="69" t="s">
        <v>10</v>
      </c>
      <c r="B26" s="70"/>
      <c r="C26" s="71"/>
      <c r="D26" s="72"/>
      <c r="E26" s="34">
        <f>SUM(E3:E25)</f>
        <v>0</v>
      </c>
      <c r="F26" s="62">
        <f t="shared" si="1"/>
        <v>0</v>
      </c>
      <c r="M26" s="11"/>
    </row>
    <row r="27" spans="1:15" x14ac:dyDescent="0.3">
      <c r="A27" s="94" t="s">
        <v>70</v>
      </c>
      <c r="B27" s="35"/>
      <c r="C27" s="43"/>
      <c r="D27" s="97"/>
      <c r="E27" s="93"/>
      <c r="F27" s="62">
        <f t="shared" si="1"/>
        <v>0</v>
      </c>
    </row>
    <row r="28" spans="1:15" x14ac:dyDescent="0.3">
      <c r="A28" s="98" t="s">
        <v>125</v>
      </c>
      <c r="B28" s="45"/>
      <c r="C28" s="30">
        <f>'Cennik enova365'!C93</f>
        <v>1998</v>
      </c>
      <c r="D28" s="31" t="s">
        <v>3</v>
      </c>
      <c r="E28" s="32">
        <f>IF(D28="TAK",C28,0)</f>
        <v>0</v>
      </c>
      <c r="F28" s="62">
        <f t="shared" si="1"/>
        <v>0</v>
      </c>
    </row>
    <row r="29" spans="1:15" x14ac:dyDescent="0.3">
      <c r="A29" s="98" t="s">
        <v>126</v>
      </c>
      <c r="B29" s="45"/>
      <c r="C29" s="30">
        <f>'Cennik enova365'!C94</f>
        <v>1998</v>
      </c>
      <c r="D29" s="31" t="s">
        <v>3</v>
      </c>
      <c r="E29" s="32">
        <f t="shared" ref="E29:E31" si="3">IF(D29="TAK",C29,0)</f>
        <v>0</v>
      </c>
      <c r="F29" s="62">
        <f t="shared" si="1"/>
        <v>0</v>
      </c>
    </row>
    <row r="30" spans="1:15" x14ac:dyDescent="0.3">
      <c r="A30" s="98" t="s">
        <v>127</v>
      </c>
      <c r="B30" s="45"/>
      <c r="C30" s="30">
        <f>'Cennik enova365'!C95</f>
        <v>1998</v>
      </c>
      <c r="D30" s="31" t="s">
        <v>3</v>
      </c>
      <c r="E30" s="32">
        <f t="shared" si="3"/>
        <v>0</v>
      </c>
      <c r="F30" s="62">
        <f t="shared" si="1"/>
        <v>0</v>
      </c>
    </row>
    <row r="31" spans="1:15" x14ac:dyDescent="0.3">
      <c r="A31" s="98" t="s">
        <v>128</v>
      </c>
      <c r="B31" s="45"/>
      <c r="C31" s="30">
        <f>'Cennik enova365'!C96</f>
        <v>1998</v>
      </c>
      <c r="D31" s="31" t="s">
        <v>3</v>
      </c>
      <c r="E31" s="32">
        <f t="shared" si="3"/>
        <v>0</v>
      </c>
      <c r="F31" s="62">
        <f t="shared" si="1"/>
        <v>0</v>
      </c>
    </row>
    <row r="32" spans="1:15" x14ac:dyDescent="0.3">
      <c r="A32" s="98" t="s">
        <v>110</v>
      </c>
      <c r="B32" s="45"/>
      <c r="C32" s="30">
        <f>'Cennik enova365'!C97</f>
        <v>13950</v>
      </c>
      <c r="D32" s="31" t="s">
        <v>3</v>
      </c>
      <c r="E32" s="32">
        <f>IF(D32="TAK",C32,0)</f>
        <v>0</v>
      </c>
      <c r="F32" s="62">
        <f t="shared" si="1"/>
        <v>0</v>
      </c>
      <c r="K32" s="74"/>
    </row>
    <row r="33" spans="1:8" x14ac:dyDescent="0.3">
      <c r="A33" s="69" t="s">
        <v>72</v>
      </c>
      <c r="B33" s="96"/>
      <c r="C33" s="71"/>
      <c r="D33" s="72"/>
      <c r="E33" s="34">
        <f>SUM(E28:E32)</f>
        <v>0</v>
      </c>
      <c r="F33" s="62">
        <f t="shared" si="1"/>
        <v>0</v>
      </c>
    </row>
    <row r="34" spans="1:8" x14ac:dyDescent="0.3">
      <c r="A34" s="168" t="s">
        <v>62</v>
      </c>
      <c r="B34" s="169"/>
      <c r="C34" s="35"/>
      <c r="D34" s="36"/>
      <c r="E34" s="37"/>
      <c r="F34" s="62">
        <f t="shared" si="1"/>
        <v>0</v>
      </c>
    </row>
    <row r="35" spans="1:8" x14ac:dyDescent="0.3">
      <c r="A35" s="170" t="s">
        <v>78</v>
      </c>
      <c r="B35" s="171"/>
      <c r="C35" s="30">
        <f>'Cennik enova365'!C33</f>
        <v>1116</v>
      </c>
      <c r="D35" s="31" t="s">
        <v>3</v>
      </c>
      <c r="E35" s="32">
        <f>IF(SUM(D$3:D$25)=0,IF(D35="TAK",C35,0),IF(M$25=0,0,IF(D35="TAK",C35,0)))</f>
        <v>0</v>
      </c>
      <c r="F35" s="62">
        <f t="shared" ref="F35:F68" si="4">IF(E35&gt;0,1,0)</f>
        <v>0</v>
      </c>
    </row>
    <row r="36" spans="1:8" x14ac:dyDescent="0.3">
      <c r="A36" s="170" t="s">
        <v>46</v>
      </c>
      <c r="B36" s="171"/>
      <c r="C36" s="30">
        <f>'Cennik enova365'!C34</f>
        <v>1116</v>
      </c>
      <c r="D36" s="31" t="s">
        <v>3</v>
      </c>
      <c r="E36" s="32">
        <f t="shared" ref="E36:E54" si="5">IF(SUM(D$3:D$25)=0,IF(D36="TAK",C36,0),IF(M$25=0,0,IF(D36="TAK",C36,0)))</f>
        <v>0</v>
      </c>
      <c r="F36" s="62">
        <f t="shared" si="4"/>
        <v>0</v>
      </c>
    </row>
    <row r="37" spans="1:8" x14ac:dyDescent="0.3">
      <c r="A37" s="170" t="s">
        <v>79</v>
      </c>
      <c r="B37" s="171"/>
      <c r="C37" s="30">
        <f>'Cennik enova365'!C35</f>
        <v>3493</v>
      </c>
      <c r="D37" s="31" t="s">
        <v>3</v>
      </c>
      <c r="E37" s="32">
        <f t="shared" si="5"/>
        <v>0</v>
      </c>
      <c r="F37" s="62">
        <f t="shared" si="4"/>
        <v>0</v>
      </c>
    </row>
    <row r="38" spans="1:8" x14ac:dyDescent="0.3">
      <c r="A38" s="170" t="s">
        <v>47</v>
      </c>
      <c r="B38" s="171"/>
      <c r="C38" s="30">
        <f>'Cennik enova365'!C36</f>
        <v>926</v>
      </c>
      <c r="D38" s="31" t="s">
        <v>3</v>
      </c>
      <c r="E38" s="32">
        <f t="shared" si="5"/>
        <v>0</v>
      </c>
      <c r="F38" s="62">
        <f t="shared" si="4"/>
        <v>0</v>
      </c>
    </row>
    <row r="39" spans="1:8" x14ac:dyDescent="0.3">
      <c r="A39" s="170" t="s">
        <v>81</v>
      </c>
      <c r="B39" s="171"/>
      <c r="C39" s="30">
        <f>'Cennik enova365'!C37</f>
        <v>926</v>
      </c>
      <c r="D39" s="31" t="s">
        <v>3</v>
      </c>
      <c r="E39" s="32">
        <f t="shared" si="5"/>
        <v>0</v>
      </c>
      <c r="F39" s="62">
        <f t="shared" si="4"/>
        <v>0</v>
      </c>
      <c r="H39" s="67"/>
    </row>
    <row r="40" spans="1:8" x14ac:dyDescent="0.3">
      <c r="A40" s="170" t="s">
        <v>76</v>
      </c>
      <c r="B40" s="171"/>
      <c r="C40" s="30">
        <f>'Cennik enova365'!C38</f>
        <v>692</v>
      </c>
      <c r="D40" s="31" t="s">
        <v>3</v>
      </c>
      <c r="E40" s="32">
        <f t="shared" si="5"/>
        <v>0</v>
      </c>
      <c r="F40" s="62">
        <f t="shared" si="4"/>
        <v>0</v>
      </c>
    </row>
    <row r="41" spans="1:8" x14ac:dyDescent="0.3">
      <c r="A41" s="170" t="s">
        <v>80</v>
      </c>
      <c r="B41" s="171"/>
      <c r="C41" s="30">
        <f>'Cennik enova365'!C39</f>
        <v>324</v>
      </c>
      <c r="D41" s="31" t="s">
        <v>3</v>
      </c>
      <c r="E41" s="32">
        <f t="shared" si="5"/>
        <v>0</v>
      </c>
      <c r="F41" s="62">
        <f t="shared" si="4"/>
        <v>0</v>
      </c>
    </row>
    <row r="42" spans="1:8" x14ac:dyDescent="0.3">
      <c r="A42" s="170" t="s">
        <v>143</v>
      </c>
      <c r="B42" s="171"/>
      <c r="C42" s="30">
        <f>'Cennik enova365'!C40</f>
        <v>413</v>
      </c>
      <c r="D42" s="31" t="s">
        <v>3</v>
      </c>
      <c r="E42" s="32">
        <f t="shared" si="5"/>
        <v>0</v>
      </c>
      <c r="F42" s="62">
        <f t="shared" si="4"/>
        <v>0</v>
      </c>
    </row>
    <row r="43" spans="1:8" x14ac:dyDescent="0.3">
      <c r="A43" s="170" t="s">
        <v>41</v>
      </c>
      <c r="B43" s="171"/>
      <c r="C43" s="30">
        <f>'Cennik enova365'!C41</f>
        <v>926</v>
      </c>
      <c r="D43" s="31" t="s">
        <v>3</v>
      </c>
      <c r="E43" s="32">
        <f t="shared" si="5"/>
        <v>0</v>
      </c>
      <c r="F43" s="62">
        <f t="shared" si="4"/>
        <v>0</v>
      </c>
    </row>
    <row r="44" spans="1:8" x14ac:dyDescent="0.3">
      <c r="A44" s="170" t="s">
        <v>42</v>
      </c>
      <c r="B44" s="171"/>
      <c r="C44" s="30">
        <f>'Cennik enova365'!C42</f>
        <v>1016</v>
      </c>
      <c r="D44" s="31" t="s">
        <v>3</v>
      </c>
      <c r="E44" s="32">
        <f t="shared" si="5"/>
        <v>0</v>
      </c>
      <c r="F44" s="62">
        <f t="shared" si="4"/>
        <v>0</v>
      </c>
    </row>
    <row r="45" spans="1:8" x14ac:dyDescent="0.3">
      <c r="A45" s="170" t="s">
        <v>43</v>
      </c>
      <c r="B45" s="171"/>
      <c r="C45" s="30">
        <f>'Cennik enova365'!C43</f>
        <v>1161</v>
      </c>
      <c r="D45" s="31" t="s">
        <v>3</v>
      </c>
      <c r="E45" s="32">
        <f t="shared" si="5"/>
        <v>0</v>
      </c>
      <c r="F45" s="62">
        <f t="shared" si="4"/>
        <v>0</v>
      </c>
    </row>
    <row r="46" spans="1:8" x14ac:dyDescent="0.3">
      <c r="A46" s="170" t="s">
        <v>44</v>
      </c>
      <c r="B46" s="171"/>
      <c r="C46" s="30">
        <f>'Cennik enova365'!C44</f>
        <v>692</v>
      </c>
      <c r="D46" s="31" t="s">
        <v>3</v>
      </c>
      <c r="E46" s="32">
        <f t="shared" si="5"/>
        <v>0</v>
      </c>
      <c r="F46" s="62">
        <f t="shared" si="4"/>
        <v>0</v>
      </c>
    </row>
    <row r="47" spans="1:8" x14ac:dyDescent="0.3">
      <c r="A47" s="170" t="s">
        <v>45</v>
      </c>
      <c r="B47" s="171"/>
      <c r="C47" s="30">
        <f>'Cennik enova365'!C45</f>
        <v>692</v>
      </c>
      <c r="D47" s="31" t="s">
        <v>3</v>
      </c>
      <c r="E47" s="32">
        <f t="shared" si="5"/>
        <v>0</v>
      </c>
      <c r="F47" s="62">
        <f t="shared" si="4"/>
        <v>0</v>
      </c>
    </row>
    <row r="48" spans="1:8" x14ac:dyDescent="0.3">
      <c r="A48" s="170" t="s">
        <v>50</v>
      </c>
      <c r="B48" s="171"/>
      <c r="C48" s="30">
        <f>'Cennik enova365'!C46</f>
        <v>926</v>
      </c>
      <c r="D48" s="31" t="s">
        <v>3</v>
      </c>
      <c r="E48" s="32">
        <f t="shared" si="5"/>
        <v>0</v>
      </c>
      <c r="F48" s="62">
        <f t="shared" si="4"/>
        <v>0</v>
      </c>
    </row>
    <row r="49" spans="1:8" x14ac:dyDescent="0.3">
      <c r="A49" s="165" t="s">
        <v>74</v>
      </c>
      <c r="B49" s="166"/>
      <c r="C49" s="30">
        <f>'Cennik enova365'!C47</f>
        <v>2321</v>
      </c>
      <c r="D49" s="31" t="s">
        <v>3</v>
      </c>
      <c r="E49" s="32">
        <f t="shared" si="5"/>
        <v>0</v>
      </c>
      <c r="F49" s="62">
        <f t="shared" si="4"/>
        <v>0</v>
      </c>
    </row>
    <row r="50" spans="1:8" x14ac:dyDescent="0.3">
      <c r="A50" s="170" t="s">
        <v>106</v>
      </c>
      <c r="B50" s="171"/>
      <c r="C50" s="30">
        <f>'Cennik enova365'!C48</f>
        <v>926</v>
      </c>
      <c r="D50" s="31" t="s">
        <v>3</v>
      </c>
      <c r="E50" s="32">
        <f t="shared" si="5"/>
        <v>0</v>
      </c>
      <c r="F50" s="62">
        <f>IF(E50&gt;0,1,0)</f>
        <v>0</v>
      </c>
    </row>
    <row r="51" spans="1:8" x14ac:dyDescent="0.3">
      <c r="A51" s="170" t="s">
        <v>144</v>
      </c>
      <c r="B51" s="171"/>
      <c r="C51" s="30">
        <f>'Cennik enova365'!C49</f>
        <v>692</v>
      </c>
      <c r="D51" s="31" t="s">
        <v>3</v>
      </c>
      <c r="E51" s="32">
        <f t="shared" si="5"/>
        <v>0</v>
      </c>
      <c r="F51" s="62">
        <f>IF(E51&gt;0,1,0)</f>
        <v>0</v>
      </c>
    </row>
    <row r="52" spans="1:8" x14ac:dyDescent="0.3">
      <c r="A52" s="170" t="s">
        <v>49</v>
      </c>
      <c r="B52" s="171"/>
      <c r="C52" s="30">
        <f>'Cennik enova365'!C50</f>
        <v>413</v>
      </c>
      <c r="D52" s="31" t="s">
        <v>3</v>
      </c>
      <c r="E52" s="32">
        <f t="shared" si="5"/>
        <v>0</v>
      </c>
      <c r="F52" s="62">
        <f t="shared" si="4"/>
        <v>0</v>
      </c>
    </row>
    <row r="53" spans="1:8" x14ac:dyDescent="0.3">
      <c r="A53" s="170" t="s">
        <v>59</v>
      </c>
      <c r="B53" s="171"/>
      <c r="C53" s="30">
        <f>'Cennik enova365'!C51</f>
        <v>926</v>
      </c>
      <c r="D53" s="31" t="s">
        <v>3</v>
      </c>
      <c r="E53" s="32">
        <f t="shared" si="5"/>
        <v>0</v>
      </c>
      <c r="F53" s="62">
        <f t="shared" si="4"/>
        <v>0</v>
      </c>
    </row>
    <row r="54" spans="1:8" x14ac:dyDescent="0.3">
      <c r="A54" s="170" t="s">
        <v>51</v>
      </c>
      <c r="B54" s="171"/>
      <c r="C54" s="30">
        <f>'Cennik enova365'!C52</f>
        <v>692</v>
      </c>
      <c r="D54" s="31" t="s">
        <v>3</v>
      </c>
      <c r="E54" s="32">
        <f t="shared" si="5"/>
        <v>0</v>
      </c>
      <c r="F54" s="62">
        <f t="shared" si="4"/>
        <v>0</v>
      </c>
    </row>
    <row r="55" spans="1:8" x14ac:dyDescent="0.3">
      <c r="A55" s="39" t="s">
        <v>11</v>
      </c>
      <c r="B55" s="40"/>
      <c r="C55" s="41"/>
      <c r="D55" s="42"/>
      <c r="E55" s="34">
        <f>SUM(E35:E54)</f>
        <v>0</v>
      </c>
      <c r="F55" s="62">
        <f t="shared" si="4"/>
        <v>0</v>
      </c>
    </row>
    <row r="56" spans="1:8" x14ac:dyDescent="0.3">
      <c r="A56" s="61" t="s">
        <v>19</v>
      </c>
      <c r="B56" s="35"/>
      <c r="C56" s="43"/>
      <c r="D56" s="35"/>
      <c r="E56" s="37"/>
      <c r="F56" s="62">
        <f t="shared" si="4"/>
        <v>0</v>
      </c>
    </row>
    <row r="57" spans="1:8" x14ac:dyDescent="0.3">
      <c r="A57" s="44"/>
      <c r="B57" s="45"/>
      <c r="C57" s="33"/>
      <c r="D57" s="46" t="s">
        <v>131</v>
      </c>
      <c r="E57" s="32"/>
      <c r="F57" s="62">
        <f t="shared" si="4"/>
        <v>0</v>
      </c>
    </row>
    <row r="58" spans="1:8" x14ac:dyDescent="0.3">
      <c r="A58" s="47" t="s">
        <v>13</v>
      </c>
      <c r="B58" s="38" t="s">
        <v>3</v>
      </c>
      <c r="C58" s="30">
        <f>'Cennik enova365'!C56</f>
        <v>167</v>
      </c>
      <c r="D58" s="31">
        <v>1</v>
      </c>
      <c r="E58" s="32">
        <f>IF(SUM(D$3:D$25)=0,IF(B58="TAK",C58*D58,0),IF(M$26=0,0,IF(B58="TAK",C58*D58,0)))</f>
        <v>0</v>
      </c>
      <c r="F58" s="62">
        <f t="shared" si="4"/>
        <v>0</v>
      </c>
    </row>
    <row r="59" spans="1:8" x14ac:dyDescent="0.3">
      <c r="A59" s="47" t="s">
        <v>14</v>
      </c>
      <c r="B59" s="38" t="s">
        <v>3</v>
      </c>
      <c r="C59" s="30">
        <f>'Cennik enova365'!C57</f>
        <v>335</v>
      </c>
      <c r="D59" s="31">
        <v>1</v>
      </c>
      <c r="E59" s="32">
        <f>IF(AND(B59="TAK",B58="tak"),(IF(E59&lt;5,"1..5 musi być 5",IF(SUM(E$3:E$25)=0,IF(B59="TAK",C58*E59,0),IF(M$26=0,0,IF(B59="TAK",C59*E59,0))))),0)</f>
        <v>0</v>
      </c>
      <c r="F59" s="62">
        <f t="shared" si="4"/>
        <v>0</v>
      </c>
    </row>
    <row r="60" spans="1:8" x14ac:dyDescent="0.3">
      <c r="A60" s="39" t="s">
        <v>12</v>
      </c>
      <c r="B60" s="48"/>
      <c r="C60" s="49"/>
      <c r="D60" s="48"/>
      <c r="E60" s="50">
        <f>SUM(E58:E59)</f>
        <v>0</v>
      </c>
      <c r="F60" s="62">
        <f t="shared" si="4"/>
        <v>0</v>
      </c>
    </row>
    <row r="61" spans="1:8" x14ac:dyDescent="0.3">
      <c r="A61" s="61" t="s">
        <v>20</v>
      </c>
      <c r="B61" s="35"/>
      <c r="C61" s="43"/>
      <c r="D61" s="73" t="s">
        <v>18</v>
      </c>
      <c r="E61" s="37"/>
      <c r="F61" s="62">
        <f t="shared" si="4"/>
        <v>0</v>
      </c>
    </row>
    <row r="62" spans="1:8" x14ac:dyDescent="0.3">
      <c r="A62" s="47" t="s">
        <v>53</v>
      </c>
      <c r="B62" s="38" t="s">
        <v>3</v>
      </c>
      <c r="C62" s="30">
        <f>IF(D62="do 50 kont",'Cennik enova365'!C61,IF(D62="do 100 kont",'Cennik enova365'!C62,IF(D62="do 200 kont",'Cennik enova365'!C63,IF(D62="do 500 kont",'Cennik enova365'!C64,IF(D62="do 1000 kont",'Cennik enova365'!C65,IF(D62="powyżej 1000 kont",'Cennik enova365'!C66))))))</f>
        <v>1395</v>
      </c>
      <c r="D62" s="31" t="s">
        <v>137</v>
      </c>
      <c r="E62" s="32">
        <f>IF(B62="TAK",IF(OR(E3&lt;=0,B3="srebro"),"Dodaj KP min. złote",C62),0)</f>
        <v>0</v>
      </c>
      <c r="F62" s="62">
        <f t="shared" si="4"/>
        <v>0</v>
      </c>
    </row>
    <row r="63" spans="1:8" x14ac:dyDescent="0.3">
      <c r="A63" s="47" t="s">
        <v>17</v>
      </c>
      <c r="B63" s="38" t="s">
        <v>3</v>
      </c>
      <c r="C63" s="30">
        <f>'Cennik enova365'!C68</f>
        <v>89</v>
      </c>
      <c r="D63" s="76">
        <v>0</v>
      </c>
      <c r="E63" s="32">
        <f>IF(B63="TAK",C63*D63,0)</f>
        <v>0</v>
      </c>
      <c r="F63" s="62">
        <f t="shared" si="4"/>
        <v>0</v>
      </c>
      <c r="H63" s="75"/>
    </row>
    <row r="64" spans="1:8" x14ac:dyDescent="0.3">
      <c r="A64" s="47" t="s">
        <v>60</v>
      </c>
      <c r="B64" s="38" t="s">
        <v>3</v>
      </c>
      <c r="C64" s="30">
        <f>IF(D64="do 50 kont",'Cennik enova365'!C75,IF(D64="do 100 kont",'Cennik enova365'!C76,IF(D64="do 200 kont",'Cennik enova365'!C77,IF(D64="do 500 kont",'Cennik enova365'!C78,IF(D64="do 1000 kont",'Cennik enova365'!C79,IF(D64="powyżej 1000 kont",'Cennik enova365'!C80))))))</f>
        <v>1161</v>
      </c>
      <c r="D64" s="31" t="s">
        <v>137</v>
      </c>
      <c r="E64" s="32">
        <f>IF(B64="TAK",IF(OR(E10&lt;=0,B10="srebro"),"Dodaj Handel ZŁ",C64),0)</f>
        <v>0</v>
      </c>
      <c r="F64" s="62">
        <f t="shared" si="4"/>
        <v>0</v>
      </c>
      <c r="H64" s="75"/>
    </row>
    <row r="65" spans="1:9" x14ac:dyDescent="0.3">
      <c r="A65" s="47" t="s">
        <v>61</v>
      </c>
      <c r="B65" s="38" t="s">
        <v>3</v>
      </c>
      <c r="C65" s="30">
        <f>IF(D65="do 50 kont",'Cennik enova365'!C83,IF(D65="do 100 kont",'Cennik enova365'!C84,IF(D65="do 200 kont",'Cennik enova365'!C85,IF(D65="do 500 kont",'Cennik enova365'!C86,IF(D65="do 1000 kont",'Cennik enova365'!C87,IF(D65="powyżej 1000 kont",'Cennik enova365'!C88))))))</f>
        <v>692</v>
      </c>
      <c r="D65" s="31" t="s">
        <v>137</v>
      </c>
      <c r="E65" s="32">
        <f>IF(B65="TAK",IF(OR(E19&lt;=0,B19="złoto"),"Dodaj WFPL",C65),0)</f>
        <v>0</v>
      </c>
      <c r="F65" s="62">
        <f t="shared" si="4"/>
        <v>0</v>
      </c>
    </row>
    <row r="66" spans="1:9" x14ac:dyDescent="0.3">
      <c r="A66" s="47" t="s">
        <v>75</v>
      </c>
      <c r="B66" s="38" t="s">
        <v>3</v>
      </c>
      <c r="C66" s="30">
        <f>'Cennik enova365'!C69</f>
        <v>2299</v>
      </c>
      <c r="D66" s="30"/>
      <c r="E66" s="32">
        <f>IF(B66="TAK",C66,0)</f>
        <v>0</v>
      </c>
      <c r="F66" s="62">
        <f t="shared" si="4"/>
        <v>0</v>
      </c>
    </row>
    <row r="67" spans="1:9" x14ac:dyDescent="0.3">
      <c r="A67" s="64" t="s">
        <v>21</v>
      </c>
      <c r="B67" s="48"/>
      <c r="C67" s="49"/>
      <c r="D67" s="48"/>
      <c r="E67" s="50">
        <f>SUM(E62:E66)</f>
        <v>0</v>
      </c>
      <c r="F67" s="62">
        <f t="shared" si="4"/>
        <v>0</v>
      </c>
      <c r="H67" s="63"/>
    </row>
    <row r="68" spans="1:9" x14ac:dyDescent="0.3">
      <c r="A68" s="51" t="s">
        <v>58</v>
      </c>
      <c r="B68" s="52"/>
      <c r="C68" s="52"/>
      <c r="D68" s="52"/>
      <c r="E68" s="53">
        <f>E26+E55+E60+E67+E33</f>
        <v>0</v>
      </c>
      <c r="F68" s="62">
        <f t="shared" si="4"/>
        <v>0</v>
      </c>
      <c r="H68" s="63"/>
    </row>
    <row r="69" spans="1:9" ht="33" customHeight="1" x14ac:dyDescent="0.3">
      <c r="A69" s="148" t="s">
        <v>132</v>
      </c>
      <c r="B69" s="153">
        <v>0</v>
      </c>
      <c r="C69" s="153" t="str">
        <f>IF(B70&gt;0,"TYP 3",((IF(B69&lt;=10,((IF(B69&lt;=1,"min. zamówienie to 2 dostępy",(VLOOKUP(B69,'Cennik enova365'!L:M,2,))))),("TYP 3")))))</f>
        <v>min. zamówienie to 2 dostępy</v>
      </c>
      <c r="D69" s="154">
        <f>IFERROR((HLOOKUP(C69,'Cennik enova365'!105:106,2,FALSE)),0)</f>
        <v>0</v>
      </c>
      <c r="E69" s="161">
        <f>D69*B69</f>
        <v>0</v>
      </c>
      <c r="F69" s="62">
        <f t="shared" ref="F69:F71" si="6">IF(E69&gt;0,1,0)</f>
        <v>0</v>
      </c>
      <c r="H69" s="63"/>
    </row>
    <row r="70" spans="1:9" ht="47.4" customHeight="1" x14ac:dyDescent="0.3">
      <c r="A70" s="148" t="s">
        <v>135</v>
      </c>
      <c r="B70" s="152">
        <v>0</v>
      </c>
      <c r="C70" s="152" t="str">
        <f>IF(B70&gt;0,"TYP 3","-")</f>
        <v>-</v>
      </c>
      <c r="D70" s="155"/>
      <c r="E70" s="161">
        <f>IFERROR((((MROUND(((B70-B69)+1),5)/5)*720)),0)</f>
        <v>0</v>
      </c>
      <c r="F70" s="62">
        <f t="shared" si="6"/>
        <v>0</v>
      </c>
      <c r="G70" s="162">
        <f>IFERROR(E70/D69+B69,0)</f>
        <v>0</v>
      </c>
      <c r="H70" s="163" t="str">
        <f>IF(G70&gt;0,"na fakturze będzie tyle sztuk pozycji towarowej
pakiet enova365 dostęp dla użytkownika do bazy typ ... (tyle będzie także w pliku licencyjnym)"," ")</f>
        <v xml:space="preserve"> </v>
      </c>
    </row>
    <row r="71" spans="1:9" ht="31.2" x14ac:dyDescent="0.3">
      <c r="A71" s="142" t="s">
        <v>129</v>
      </c>
      <c r="B71" s="52"/>
      <c r="C71" s="52"/>
      <c r="D71" s="52"/>
      <c r="E71" s="53">
        <f>SUM(E69:E70)</f>
        <v>0</v>
      </c>
      <c r="F71" s="62">
        <f t="shared" si="6"/>
        <v>0</v>
      </c>
      <c r="H71" s="63"/>
    </row>
    <row r="72" spans="1:9" x14ac:dyDescent="0.3">
      <c r="A72" s="55" t="s">
        <v>82</v>
      </c>
      <c r="B72" s="77"/>
      <c r="C72" s="77"/>
      <c r="D72" s="77"/>
      <c r="E72" s="78">
        <f>E68+E71</f>
        <v>0</v>
      </c>
      <c r="F72" s="62">
        <v>1</v>
      </c>
    </row>
    <row r="73" spans="1:9" x14ac:dyDescent="0.3">
      <c r="A73" s="56" t="s">
        <v>83</v>
      </c>
      <c r="B73" s="57"/>
      <c r="C73" s="57"/>
      <c r="D73" s="57"/>
      <c r="E73" s="58">
        <f>E72*1.23</f>
        <v>0</v>
      </c>
      <c r="F73" s="62">
        <v>1</v>
      </c>
    </row>
    <row r="74" spans="1:9" x14ac:dyDescent="0.3">
      <c r="A74" s="101" t="s">
        <v>63</v>
      </c>
      <c r="B74" s="101"/>
      <c r="C74" s="28"/>
      <c r="D74" s="28"/>
      <c r="E74" s="28"/>
      <c r="F74" s="62">
        <f>IF($E$73&gt;0,1,0)</f>
        <v>0</v>
      </c>
    </row>
    <row r="75" spans="1:9" x14ac:dyDescent="0.3">
      <c r="A75" s="54" t="s">
        <v>64</v>
      </c>
      <c r="B75" s="54"/>
      <c r="C75" s="83"/>
      <c r="D75" s="83"/>
      <c r="E75" s="83"/>
      <c r="F75" s="62">
        <f t="shared" ref="F75:F76" si="7">IF($E$73&gt;0,1,0)</f>
        <v>0</v>
      </c>
    </row>
    <row r="76" spans="1:9" x14ac:dyDescent="0.3">
      <c r="A76" s="54" t="s">
        <v>65</v>
      </c>
      <c r="B76" s="54"/>
      <c r="C76" s="83"/>
      <c r="D76" s="11"/>
      <c r="E76" s="84"/>
      <c r="F76" s="62">
        <f t="shared" si="7"/>
        <v>0</v>
      </c>
      <c r="I76" s="63"/>
    </row>
    <row r="77" spans="1:9" x14ac:dyDescent="0.3">
      <c r="A77" s="1"/>
      <c r="B77" s="1"/>
      <c r="C77" s="11"/>
      <c r="D77" s="11"/>
      <c r="E77" s="11"/>
      <c r="F77" s="28"/>
    </row>
    <row r="78" spans="1:9" ht="146.4" customHeight="1" x14ac:dyDescent="0.3">
      <c r="A78" s="172" t="s">
        <v>136</v>
      </c>
      <c r="B78" s="172"/>
      <c r="C78" s="172"/>
      <c r="D78" s="172"/>
      <c r="E78" s="172"/>
      <c r="F78" s="28">
        <v>1</v>
      </c>
    </row>
    <row r="79" spans="1:9" x14ac:dyDescent="0.3">
      <c r="A79" s="83"/>
      <c r="B79" s="11"/>
      <c r="C79" s="11"/>
      <c r="D79" s="83"/>
      <c r="E79" s="79"/>
      <c r="F79" s="11"/>
    </row>
    <row r="80" spans="1:9" x14ac:dyDescent="0.3">
      <c r="A80" s="83"/>
      <c r="B80" s="11"/>
      <c r="C80" s="11"/>
      <c r="D80" s="11"/>
      <c r="E80" s="11"/>
      <c r="F80" s="11"/>
    </row>
    <row r="81" spans="1:5" s="11" customFormat="1" ht="14.4" x14ac:dyDescent="0.3">
      <c r="E81" s="79"/>
    </row>
    <row r="82" spans="1:5" s="11" customFormat="1" x14ac:dyDescent="0.3">
      <c r="D82" s="88"/>
      <c r="E82" s="82"/>
    </row>
    <row r="83" spans="1:5" s="11" customFormat="1" ht="14.4" x14ac:dyDescent="0.3"/>
    <row r="84" spans="1:5" s="11" customFormat="1" ht="14.4" x14ac:dyDescent="0.3"/>
    <row r="85" spans="1:5" s="11" customFormat="1" ht="14.4" x14ac:dyDescent="0.3"/>
    <row r="86" spans="1:5" s="11" customFormat="1" ht="14.4" x14ac:dyDescent="0.3"/>
    <row r="87" spans="1:5" s="11" customFormat="1" ht="14.4" x14ac:dyDescent="0.3"/>
    <row r="88" spans="1:5" s="11" customFormat="1" ht="14.4" x14ac:dyDescent="0.3"/>
    <row r="89" spans="1:5" s="11" customFormat="1" ht="14.4" x14ac:dyDescent="0.3"/>
    <row r="90" spans="1:5" s="11" customFormat="1" ht="14.4" x14ac:dyDescent="0.3"/>
    <row r="91" spans="1:5" s="11" customFormat="1" ht="14.4" x14ac:dyDescent="0.3"/>
    <row r="92" spans="1:5" s="11" customFormat="1" ht="14.4" x14ac:dyDescent="0.3"/>
    <row r="93" spans="1:5" s="11" customFormat="1" ht="14.4" x14ac:dyDescent="0.3"/>
    <row r="94" spans="1:5" s="11" customFormat="1" ht="14.4" x14ac:dyDescent="0.3"/>
    <row r="95" spans="1:5" s="11" customFormat="1" ht="14.4" x14ac:dyDescent="0.3"/>
    <row r="96" spans="1:5" s="11" customFormat="1" x14ac:dyDescent="0.3">
      <c r="A96" s="62"/>
      <c r="B96" s="62"/>
    </row>
    <row r="97" spans="1:10" s="11" customFormat="1" x14ac:dyDescent="0.3">
      <c r="A97" s="62"/>
      <c r="B97" s="62"/>
      <c r="C97" s="85"/>
      <c r="D97" s="85"/>
      <c r="E97" s="85"/>
    </row>
    <row r="98" spans="1:10" s="11" customFormat="1" x14ac:dyDescent="0.3">
      <c r="A98" s="62"/>
      <c r="B98" s="62"/>
      <c r="C98" s="85"/>
      <c r="D98" s="85"/>
      <c r="E98" s="85"/>
    </row>
    <row r="99" spans="1:10" s="11" customFormat="1" x14ac:dyDescent="0.3">
      <c r="A99" s="62"/>
      <c r="B99" s="62"/>
      <c r="C99" s="85"/>
      <c r="D99" s="85"/>
      <c r="E99" s="86"/>
      <c r="F99" s="28"/>
    </row>
    <row r="100" spans="1:10" s="11" customFormat="1" x14ac:dyDescent="0.3">
      <c r="A100" s="62"/>
      <c r="B100" s="62"/>
      <c r="C100" s="85"/>
      <c r="D100" s="85"/>
      <c r="E100" s="86"/>
      <c r="F100" s="28"/>
    </row>
    <row r="101" spans="1:10" s="11" customFormat="1" x14ac:dyDescent="0.3">
      <c r="A101" s="62"/>
      <c r="B101" s="62"/>
      <c r="C101" s="85"/>
      <c r="D101" s="85"/>
      <c r="E101" s="86"/>
      <c r="F101" s="28"/>
    </row>
    <row r="102" spans="1:10" s="11" customFormat="1" x14ac:dyDescent="0.3">
      <c r="A102" s="62"/>
      <c r="B102" s="62"/>
      <c r="C102" s="85"/>
      <c r="D102" s="85"/>
      <c r="E102" s="86"/>
      <c r="F102" s="28"/>
    </row>
    <row r="103" spans="1:10" s="11" customFormat="1" x14ac:dyDescent="0.3">
      <c r="A103" s="62"/>
      <c r="B103" s="62"/>
      <c r="C103" s="85"/>
      <c r="D103" s="85"/>
      <c r="E103" s="86"/>
      <c r="F103" s="28"/>
    </row>
    <row r="104" spans="1:10" s="11" customFormat="1" x14ac:dyDescent="0.3">
      <c r="A104" s="62"/>
      <c r="B104" s="62"/>
      <c r="C104" s="85"/>
      <c r="D104" s="85"/>
      <c r="E104" s="87"/>
      <c r="F104" s="28"/>
    </row>
    <row r="105" spans="1:10" x14ac:dyDescent="0.3">
      <c r="C105" s="88"/>
      <c r="D105" s="85"/>
      <c r="E105" s="85"/>
      <c r="F105" s="28"/>
    </row>
    <row r="106" spans="1:10" x14ac:dyDescent="0.3">
      <c r="C106" s="85"/>
      <c r="D106" s="85"/>
      <c r="E106" s="88"/>
      <c r="F106" s="28"/>
    </row>
    <row r="107" spans="1:10" x14ac:dyDescent="0.3">
      <c r="C107" s="85"/>
      <c r="D107" s="85"/>
      <c r="E107" s="85"/>
      <c r="F107" s="28"/>
    </row>
    <row r="108" spans="1:10" x14ac:dyDescent="0.3">
      <c r="C108" s="85"/>
      <c r="D108" s="85"/>
      <c r="E108" s="89"/>
      <c r="F108" s="28"/>
      <c r="G108" s="74"/>
      <c r="H108" s="62"/>
      <c r="I108" s="62"/>
      <c r="J108" s="62"/>
    </row>
    <row r="109" spans="1:10" x14ac:dyDescent="0.3">
      <c r="C109" s="85"/>
      <c r="D109" s="85"/>
      <c r="E109" s="90"/>
      <c r="F109" s="28"/>
      <c r="G109" s="74"/>
      <c r="H109" s="62"/>
      <c r="I109" s="62"/>
      <c r="J109" s="62"/>
    </row>
    <row r="110" spans="1:10" x14ac:dyDescent="0.3">
      <c r="C110" s="85"/>
      <c r="D110" s="85"/>
      <c r="E110" s="85"/>
      <c r="F110" s="28"/>
      <c r="G110" s="74"/>
      <c r="H110" s="62"/>
      <c r="I110" s="62"/>
      <c r="J110" s="62"/>
    </row>
    <row r="111" spans="1:10" x14ac:dyDescent="0.3">
      <c r="C111" s="85"/>
      <c r="D111" s="85"/>
      <c r="E111" s="87"/>
      <c r="F111" s="28"/>
      <c r="G111" s="74"/>
      <c r="H111" s="62"/>
      <c r="I111" s="62"/>
      <c r="J111" s="62"/>
    </row>
    <row r="112" spans="1:10" x14ac:dyDescent="0.3">
      <c r="C112" s="85"/>
      <c r="D112" s="85"/>
      <c r="E112" s="85"/>
      <c r="F112" s="28"/>
    </row>
    <row r="113" spans="3:6" x14ac:dyDescent="0.3">
      <c r="C113" s="85"/>
      <c r="D113" s="85"/>
      <c r="E113" s="91"/>
      <c r="F113" s="28"/>
    </row>
  </sheetData>
  <sheetProtection formatCells="0"/>
  <autoFilter ref="F1:F76"/>
  <mergeCells count="21">
    <mergeCell ref="A50:B50"/>
    <mergeCell ref="A78:E78"/>
    <mergeCell ref="A52:B52"/>
    <mergeCell ref="A53:B53"/>
    <mergeCell ref="A54:B54"/>
    <mergeCell ref="A51:B51"/>
    <mergeCell ref="A34:B34"/>
    <mergeCell ref="A35:B35"/>
    <mergeCell ref="A36:B36"/>
    <mergeCell ref="A37:B37"/>
    <mergeCell ref="A38:B38"/>
    <mergeCell ref="A45:B45"/>
    <mergeCell ref="A46:B46"/>
    <mergeCell ref="A47:B47"/>
    <mergeCell ref="A48:B48"/>
    <mergeCell ref="A39:B39"/>
    <mergeCell ref="A40:B40"/>
    <mergeCell ref="A41:B41"/>
    <mergeCell ref="A43:B43"/>
    <mergeCell ref="A44:B44"/>
    <mergeCell ref="A42:B42"/>
  </mergeCells>
  <dataValidations xWindow="869" yWindow="756" count="19">
    <dataValidation allowBlank="1" showInputMessage="1" showErrorMessage="1" prompt="wpisz liczbę stanowisk" sqref="D3:D20 D22:D25"/>
    <dataValidation allowBlank="1" showInputMessage="1" showErrorMessage="1" prompt="wpisz liczbę fizycznych użytkowników" sqref="B92"/>
    <dataValidation allowBlank="1" showInputMessage="1" showErrorMessage="1" prompt="wpisz liczbę wszystkich użytkowników fizycznych" sqref="B69 B71"/>
    <dataValidation allowBlank="1" showInputMessage="1" showErrorMessage="1" prompt="wpisz liczbę kont utworzonych w Pulpicie Pracownika_x000a_lub sumę kont utworzonych w Pulpicie Pracownika i Kontrahenta " sqref="B70"/>
    <dataValidation allowBlank="1" showInputMessage="1" showErrorMessage="1" prompt="wpisz liczbę kierowników" sqref="D63"/>
    <dataValidation type="list" allowBlank="1" showInputMessage="1" showErrorMessage="1" prompt="wymaga Pulpitu _x000a_Pracownika" sqref="B63 B66">
      <formula1>Opcja</formula1>
    </dataValidation>
    <dataValidation type="list" allowBlank="1" showInputMessage="1" showErrorMessage="1" prompt="wymaga Kadr Płac min. w złocie" sqref="B62">
      <formula1>Opcja</formula1>
    </dataValidation>
    <dataValidation type="list" allowBlank="1" showInputMessage="1" showErrorMessage="1" prompt="wymaga Handlu min. w złocie_x000a_lun CRM min. w złocie" sqref="B64">
      <formula1>Opcja</formula1>
    </dataValidation>
    <dataValidation type="list" allowBlank="1" showInputMessage="1" showErrorMessage="1" prompt="wymaga Workflow min. w platynie_x000a_oraz innego Pulpitu" sqref="B65">
      <formula1>Opcja</formula1>
    </dataValidation>
    <dataValidation type="list" allowBlank="1" showInputMessage="1" showErrorMessage="1" prompt="wymaga:_x000a_Faktury min. srebrne_x000a_lub Handel min. srebrny" sqref="D48 D50">
      <formula1>Opcja</formula1>
    </dataValidation>
    <dataValidation type="list" allowBlank="1" showInputMessage="1" showErrorMessage="1" prompt="wymaga: Ewidencji Środków pieniężnych, dowolny moduł samodzielny min. w wersji srebrnej (patrz powyżej zaznaczone na zielono)" sqref="D44:D45">
      <formula1>Opcja</formula1>
    </dataValidation>
    <dataValidation type="list" allowBlank="1" showInputMessage="1" showErrorMessage="1" prompt="dowolny moduł min. w wersji złotej_x000a_(przynajmniej jedno, dowolne stanowsiko w ramach licencji Klienta musi być złote)" sqref="D52:D54 D32">
      <formula1>Opcja</formula1>
    </dataValidation>
    <dataValidation type="list" allowBlank="1" showInputMessage="1" showErrorMessage="1" prompt="wymaga:_x000a_Księga Handlowa min. złota_x000a_lub Księga Podatkowa" sqref="D46:D47 D29">
      <formula1>Opcja</formula1>
    </dataValidation>
    <dataValidation type="list" allowBlank="1" showInputMessage="1" showErrorMessage="1" prompt="wymaga:_x000a_Kadry Płace min. złote" sqref="D28 D35:D42">
      <formula1>Opcja</formula1>
    </dataValidation>
    <dataValidation type="list" allowBlank="1" showInputMessage="1" showErrorMessage="1" prompt="dowolny moduł min. w wersji złotej_x000a_(przynajmniej jedno, dowolne stanowsiko w ramach licencji Klienta musi być multi)" sqref="D49">
      <formula1>Opcja</formula1>
    </dataValidation>
    <dataValidation type="list" allowBlank="1" showInputMessage="1" showErrorMessage="1" prompt="wymaga:_x000a_Księga Handlowa min. złota" sqref="D43">
      <formula1>Opcja</formula1>
    </dataValidation>
    <dataValidation type="list" allowBlank="1" showInputMessage="1" showErrorMessage="1" prompt="wymaga:_x000a_CRM min. złoty_x000a_lub Projekty min. złote" sqref="D31">
      <formula1>Opcja</formula1>
    </dataValidation>
    <dataValidation type="list" allowBlank="1" showInputMessage="1" showErrorMessage="1" prompt="wymaga:_x000a_Faktury min. złote_x000a_lub Handel min. złoty" sqref="D30">
      <formula1>Opcja</formula1>
    </dataValidation>
    <dataValidation type="list" allowBlank="1" showInputMessage="1" showErrorMessage="1" prompt="wymaga:_x000a_Handel min. złoty" sqref="D51">
      <formula1>Opcja</formula1>
    </dataValidation>
  </dataValidations>
  <pageMargins left="0.7" right="0.7" top="0.75" bottom="0.75" header="0.3" footer="0.3"/>
  <pageSetup paperSize="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869" yWindow="756" count="9">
        <x14:dataValidation type="list" allowBlank="1" showInputMessage="1" showErrorMessage="1" prompt="wybierz przedział">
          <x14:formula1>
            <xm:f>'Cennik enova365'!$A$83:$A$88</xm:f>
          </x14:formula1>
          <xm:sqref>D65</xm:sqref>
        </x14:dataValidation>
        <x14:dataValidation type="list" allowBlank="1" showInputMessage="1" showErrorMessage="1">
          <x14:formula1>
            <xm:f>'Cennik enova365'!$I$25:$I$30</xm:f>
          </x14:formula1>
          <xm:sqref>D59</xm:sqref>
        </x14:dataValidation>
        <x14:dataValidation type="list" allowBlank="1" showInputMessage="1" showErrorMessage="1">
          <x14:formula1>
            <xm:f>'Cennik enova365'!$I$3:$I$4</xm:f>
          </x14:formula1>
          <xm:sqref>B5 B8 B11:B12 B15 B17:B20 B23:B25</xm:sqref>
        </x14:dataValidation>
        <x14:dataValidation type="list" allowBlank="1" showInputMessage="1" showErrorMessage="1">
          <x14:formula1>
            <xm:f>'Cennik enova365'!$J$2:$J$3</xm:f>
          </x14:formula1>
          <xm:sqref>B4</xm:sqref>
        </x14:dataValidation>
        <x14:dataValidation type="list" allowBlank="1" showInputMessage="1" showErrorMessage="1">
          <x14:formula1>
            <xm:f>'Cennik enova365'!$I$2:$I$4</xm:f>
          </x14:formula1>
          <xm:sqref>B3 B6:B7 B9:B10 B13:B14 B16 B22</xm:sqref>
        </x14:dataValidation>
        <x14:dataValidation type="list" allowBlank="1" showInputMessage="1" showErrorMessage="1">
          <x14:formula1>
            <xm:f>'Cennik enova365'!$I$14:$I$15</xm:f>
          </x14:formula1>
          <xm:sqref>B58:B59</xm:sqref>
        </x14:dataValidation>
        <x14:dataValidation type="list" allowBlank="1" showInputMessage="1" showErrorMessage="1">
          <x14:formula1>
            <xm:f>'Cennik enova365'!$I$18:$I$22</xm:f>
          </x14:formula1>
          <xm:sqref>D58</xm:sqref>
        </x14:dataValidation>
        <x14:dataValidation type="list" allowBlank="1" showInputMessage="1" showErrorMessage="1" prompt="wybierz przedział">
          <x14:formula1>
            <xm:f>'Cennik enova365'!$A$61:$A$66</xm:f>
          </x14:formula1>
          <xm:sqref>D62</xm:sqref>
        </x14:dataValidation>
        <x14:dataValidation type="list" allowBlank="1" showInputMessage="1" showErrorMessage="1" prompt="wybierz przedział">
          <x14:formula1>
            <xm:f>'Cennik enova365'!$A$75:$A$80</xm:f>
          </x14:formula1>
          <xm:sqref>D64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opLeftCell="A58" zoomScale="80" zoomScaleNormal="80" workbookViewId="0">
      <selection activeCell="A49" sqref="A49"/>
    </sheetView>
  </sheetViews>
  <sheetFormatPr defaultRowHeight="14.4" x14ac:dyDescent="0.3"/>
  <cols>
    <col min="1" max="1" width="70.6640625" customWidth="1"/>
    <col min="2" max="3" width="15.5546875" style="11" customWidth="1"/>
    <col min="4" max="4" width="15.5546875" customWidth="1"/>
    <col min="5" max="6" width="15.5546875" style="11" customWidth="1"/>
    <col min="7" max="7" width="15.5546875" customWidth="1"/>
    <col min="8" max="8" width="12.88671875" customWidth="1"/>
    <col min="9" max="9" width="25.6640625" customWidth="1"/>
    <col min="10" max="10" width="18.5546875" customWidth="1"/>
    <col min="11" max="11" width="18.33203125" customWidth="1"/>
  </cols>
  <sheetData>
    <row r="1" spans="1:13" x14ac:dyDescent="0.3">
      <c r="I1" s="17" t="s">
        <v>52</v>
      </c>
    </row>
    <row r="2" spans="1:13" x14ac:dyDescent="0.3">
      <c r="I2" t="s">
        <v>0</v>
      </c>
      <c r="J2" s="11" t="s">
        <v>0</v>
      </c>
      <c r="K2" t="s">
        <v>2</v>
      </c>
      <c r="L2">
        <v>2</v>
      </c>
      <c r="M2" t="s">
        <v>120</v>
      </c>
    </row>
    <row r="3" spans="1:13" x14ac:dyDescent="0.3">
      <c r="A3" s="19" t="s">
        <v>57</v>
      </c>
      <c r="I3" t="s">
        <v>2</v>
      </c>
      <c r="J3" s="11" t="s">
        <v>4</v>
      </c>
      <c r="K3" t="s">
        <v>4</v>
      </c>
      <c r="L3">
        <v>3</v>
      </c>
      <c r="M3" s="11" t="s">
        <v>120</v>
      </c>
    </row>
    <row r="4" spans="1:13" x14ac:dyDescent="0.3">
      <c r="A4" s="12"/>
      <c r="B4" s="12"/>
      <c r="C4" s="12"/>
      <c r="E4" s="12"/>
      <c r="F4" s="12"/>
      <c r="I4" t="s">
        <v>4</v>
      </c>
      <c r="L4">
        <v>4</v>
      </c>
      <c r="M4" s="11" t="s">
        <v>120</v>
      </c>
    </row>
    <row r="5" spans="1:13" x14ac:dyDescent="0.3">
      <c r="A5" s="16" t="s">
        <v>40</v>
      </c>
      <c r="B5" s="173" t="s">
        <v>107</v>
      </c>
      <c r="C5" s="174"/>
      <c r="D5" s="175"/>
      <c r="E5" s="176" t="s">
        <v>123</v>
      </c>
      <c r="F5" s="177"/>
      <c r="G5" s="178"/>
      <c r="L5">
        <v>5</v>
      </c>
      <c r="M5" s="11" t="s">
        <v>121</v>
      </c>
    </row>
    <row r="6" spans="1:13" x14ac:dyDescent="0.3">
      <c r="A6" s="4"/>
      <c r="B6" s="116" t="s">
        <v>0</v>
      </c>
      <c r="C6" s="103" t="s">
        <v>2</v>
      </c>
      <c r="D6" s="103" t="s">
        <v>4</v>
      </c>
      <c r="E6" s="116" t="s">
        <v>0</v>
      </c>
      <c r="F6" s="103" t="s">
        <v>2</v>
      </c>
      <c r="G6" s="106" t="s">
        <v>4</v>
      </c>
      <c r="L6" s="11">
        <v>6</v>
      </c>
      <c r="M6" s="11" t="s">
        <v>121</v>
      </c>
    </row>
    <row r="7" spans="1:13" x14ac:dyDescent="0.3">
      <c r="A7" s="80" t="s">
        <v>84</v>
      </c>
      <c r="B7" s="121">
        <v>79</v>
      </c>
      <c r="C7" s="122">
        <v>175</v>
      </c>
      <c r="D7" s="121">
        <v>267</v>
      </c>
      <c r="E7" s="121">
        <v>882</v>
      </c>
      <c r="F7" s="123">
        <v>1953</v>
      </c>
      <c r="G7" s="124">
        <v>2980</v>
      </c>
      <c r="I7" s="17"/>
      <c r="L7" s="11">
        <v>7</v>
      </c>
      <c r="M7" s="11" t="s">
        <v>121</v>
      </c>
    </row>
    <row r="8" spans="1:13" x14ac:dyDescent="0.3">
      <c r="A8" s="2" t="s">
        <v>85</v>
      </c>
      <c r="B8" s="125">
        <v>28</v>
      </c>
      <c r="C8" s="118" t="s">
        <v>124</v>
      </c>
      <c r="D8" s="125">
        <v>51</v>
      </c>
      <c r="E8" s="125">
        <v>313</v>
      </c>
      <c r="F8" s="117" t="s">
        <v>124</v>
      </c>
      <c r="G8" s="127">
        <v>570</v>
      </c>
      <c r="L8" s="11">
        <v>8</v>
      </c>
      <c r="M8" s="11" t="s">
        <v>121</v>
      </c>
    </row>
    <row r="9" spans="1:13" s="11" customFormat="1" x14ac:dyDescent="0.3">
      <c r="A9" s="2" t="s">
        <v>86</v>
      </c>
      <c r="B9" s="117" t="s">
        <v>124</v>
      </c>
      <c r="C9" s="126">
        <v>132</v>
      </c>
      <c r="D9" s="125">
        <v>237</v>
      </c>
      <c r="E9" s="117" t="s">
        <v>124</v>
      </c>
      <c r="F9" s="128">
        <v>1474</v>
      </c>
      <c r="G9" s="124">
        <v>2645</v>
      </c>
      <c r="L9" s="11">
        <v>9</v>
      </c>
      <c r="M9" s="11" t="s">
        <v>121</v>
      </c>
    </row>
    <row r="10" spans="1:13" x14ac:dyDescent="0.3">
      <c r="A10" s="2" t="s">
        <v>87</v>
      </c>
      <c r="B10" s="125">
        <v>17</v>
      </c>
      <c r="C10" s="126">
        <v>52</v>
      </c>
      <c r="D10" s="125">
        <v>120</v>
      </c>
      <c r="E10" s="125">
        <v>190</v>
      </c>
      <c r="F10" s="125">
        <v>580</v>
      </c>
      <c r="G10" s="124">
        <v>1339</v>
      </c>
      <c r="L10" s="11">
        <v>10</v>
      </c>
      <c r="M10" s="11" t="s">
        <v>122</v>
      </c>
    </row>
    <row r="11" spans="1:13" s="11" customFormat="1" ht="15.6" x14ac:dyDescent="0.3">
      <c r="A11" s="99" t="s">
        <v>88</v>
      </c>
      <c r="B11" s="129">
        <v>21</v>
      </c>
      <c r="C11" s="126">
        <v>21</v>
      </c>
      <c r="D11" s="125">
        <v>21</v>
      </c>
      <c r="E11" s="125">
        <v>234</v>
      </c>
      <c r="F11" s="125">
        <v>234</v>
      </c>
      <c r="G11" s="127">
        <v>234</v>
      </c>
    </row>
    <row r="12" spans="1:13" x14ac:dyDescent="0.3">
      <c r="A12" s="7" t="s">
        <v>73</v>
      </c>
      <c r="B12" s="119" t="s">
        <v>124</v>
      </c>
      <c r="C12" s="126">
        <v>45</v>
      </c>
      <c r="D12" s="125">
        <v>45</v>
      </c>
      <c r="E12" s="119" t="s">
        <v>124</v>
      </c>
      <c r="F12" s="125">
        <v>502</v>
      </c>
      <c r="G12" s="127">
        <v>502</v>
      </c>
    </row>
    <row r="13" spans="1:13" x14ac:dyDescent="0.3">
      <c r="A13" s="2" t="s">
        <v>89</v>
      </c>
      <c r="B13" s="125">
        <v>11</v>
      </c>
      <c r="C13" s="126">
        <v>26</v>
      </c>
      <c r="D13" s="125">
        <v>72</v>
      </c>
      <c r="E13" s="125">
        <v>123</v>
      </c>
      <c r="F13" s="125">
        <v>290</v>
      </c>
      <c r="G13" s="127">
        <v>804</v>
      </c>
      <c r="I13" s="18" t="s">
        <v>54</v>
      </c>
    </row>
    <row r="14" spans="1:13" s="11" customFormat="1" x14ac:dyDescent="0.3">
      <c r="A14" s="2" t="s">
        <v>90</v>
      </c>
      <c r="B14" s="125">
        <v>46</v>
      </c>
      <c r="C14" s="126">
        <v>78</v>
      </c>
      <c r="D14" s="125">
        <v>177</v>
      </c>
      <c r="E14" s="125">
        <v>513</v>
      </c>
      <c r="F14" s="125">
        <v>871</v>
      </c>
      <c r="G14" s="124">
        <v>1975</v>
      </c>
      <c r="I14" s="11" t="s">
        <v>1</v>
      </c>
    </row>
    <row r="15" spans="1:13" x14ac:dyDescent="0.3">
      <c r="A15" s="2" t="s">
        <v>91</v>
      </c>
      <c r="B15" s="117" t="s">
        <v>124</v>
      </c>
      <c r="C15" s="126">
        <v>83</v>
      </c>
      <c r="D15" s="125">
        <v>201</v>
      </c>
      <c r="E15" s="117" t="s">
        <v>124</v>
      </c>
      <c r="F15" s="125">
        <v>926</v>
      </c>
      <c r="G15" s="124">
        <v>2243</v>
      </c>
      <c r="I15" t="s">
        <v>3</v>
      </c>
    </row>
    <row r="16" spans="1:13" x14ac:dyDescent="0.3">
      <c r="A16" s="2" t="s">
        <v>92</v>
      </c>
      <c r="B16" s="117" t="s">
        <v>124</v>
      </c>
      <c r="C16" s="126">
        <v>104</v>
      </c>
      <c r="D16" s="125">
        <v>216</v>
      </c>
      <c r="E16" s="117" t="s">
        <v>124</v>
      </c>
      <c r="F16" s="128">
        <v>1161</v>
      </c>
      <c r="G16" s="124">
        <v>2411</v>
      </c>
    </row>
    <row r="17" spans="1:9" s="11" customFormat="1" x14ac:dyDescent="0.3">
      <c r="A17" s="2" t="s">
        <v>93</v>
      </c>
      <c r="B17" s="125">
        <v>24</v>
      </c>
      <c r="C17" s="126">
        <v>48</v>
      </c>
      <c r="D17" s="125">
        <v>124</v>
      </c>
      <c r="E17" s="125">
        <v>268</v>
      </c>
      <c r="F17" s="125">
        <v>536</v>
      </c>
      <c r="G17" s="124">
        <v>1384</v>
      </c>
      <c r="I17" s="18" t="s">
        <v>55</v>
      </c>
    </row>
    <row r="18" spans="1:9" x14ac:dyDescent="0.3">
      <c r="A18" s="2" t="s">
        <v>94</v>
      </c>
      <c r="B18" s="125">
        <v>17</v>
      </c>
      <c r="C18" s="126">
        <v>36</v>
      </c>
      <c r="D18" s="125">
        <v>96</v>
      </c>
      <c r="E18" s="125">
        <v>190</v>
      </c>
      <c r="F18" s="125">
        <v>402</v>
      </c>
      <c r="G18" s="124">
        <v>1071</v>
      </c>
      <c r="I18" s="10">
        <v>1</v>
      </c>
    </row>
    <row r="19" spans="1:9" x14ac:dyDescent="0.3">
      <c r="A19" s="2" t="s">
        <v>95</v>
      </c>
      <c r="B19" s="117" t="s">
        <v>124</v>
      </c>
      <c r="C19" s="126">
        <v>41</v>
      </c>
      <c r="D19" s="125">
        <v>96</v>
      </c>
      <c r="E19" s="117" t="s">
        <v>124</v>
      </c>
      <c r="F19" s="125">
        <v>458</v>
      </c>
      <c r="G19" s="124">
        <v>1071</v>
      </c>
      <c r="I19" s="10">
        <v>2</v>
      </c>
    </row>
    <row r="20" spans="1:9" x14ac:dyDescent="0.3">
      <c r="A20" s="2" t="s">
        <v>96</v>
      </c>
      <c r="B20" s="125">
        <v>17</v>
      </c>
      <c r="C20" s="126">
        <v>36</v>
      </c>
      <c r="D20" s="125">
        <v>96</v>
      </c>
      <c r="E20" s="125">
        <v>190</v>
      </c>
      <c r="F20" s="125">
        <v>402</v>
      </c>
      <c r="G20" s="124">
        <v>1071</v>
      </c>
      <c r="I20" s="10">
        <v>3</v>
      </c>
    </row>
    <row r="21" spans="1:9" x14ac:dyDescent="0.3">
      <c r="A21" s="2" t="s">
        <v>97</v>
      </c>
      <c r="B21" s="117" t="s">
        <v>124</v>
      </c>
      <c r="C21" s="126">
        <v>36</v>
      </c>
      <c r="D21" s="125">
        <v>144</v>
      </c>
      <c r="E21" s="117" t="s">
        <v>124</v>
      </c>
      <c r="F21" s="125">
        <v>402</v>
      </c>
      <c r="G21" s="124">
        <v>1607</v>
      </c>
      <c r="I21" s="10">
        <v>4</v>
      </c>
    </row>
    <row r="22" spans="1:9" x14ac:dyDescent="0.3">
      <c r="A22" s="2" t="s">
        <v>98</v>
      </c>
      <c r="B22" s="117" t="s">
        <v>124</v>
      </c>
      <c r="C22" s="126">
        <v>88</v>
      </c>
      <c r="D22" s="125">
        <v>216</v>
      </c>
      <c r="E22" s="117" t="s">
        <v>124</v>
      </c>
      <c r="F22" s="125">
        <v>982</v>
      </c>
      <c r="G22" s="124">
        <v>2411</v>
      </c>
      <c r="I22" s="10">
        <v>5</v>
      </c>
    </row>
    <row r="23" spans="1:9" x14ac:dyDescent="0.3">
      <c r="A23" s="2" t="s">
        <v>99</v>
      </c>
      <c r="B23" s="117" t="s">
        <v>124</v>
      </c>
      <c r="C23" s="126">
        <v>13</v>
      </c>
      <c r="D23" s="125">
        <v>25</v>
      </c>
      <c r="E23" s="117" t="s">
        <v>124</v>
      </c>
      <c r="F23" s="125">
        <v>145</v>
      </c>
      <c r="G23" s="127">
        <v>279</v>
      </c>
    </row>
    <row r="24" spans="1:9" x14ac:dyDescent="0.3">
      <c r="A24" s="2" t="s">
        <v>100</v>
      </c>
      <c r="B24" s="117" t="s">
        <v>124</v>
      </c>
      <c r="C24" s="126">
        <v>17</v>
      </c>
      <c r="D24" s="125">
        <v>17</v>
      </c>
      <c r="E24" s="117" t="s">
        <v>124</v>
      </c>
      <c r="F24" s="125">
        <v>179</v>
      </c>
      <c r="G24" s="127">
        <v>179</v>
      </c>
      <c r="I24" s="18" t="s">
        <v>56</v>
      </c>
    </row>
    <row r="25" spans="1:9" x14ac:dyDescent="0.3">
      <c r="A25" s="7" t="s">
        <v>101</v>
      </c>
      <c r="B25" s="119" t="s">
        <v>124</v>
      </c>
      <c r="C25" s="126">
        <v>104</v>
      </c>
      <c r="D25" s="125">
        <v>104</v>
      </c>
      <c r="E25" s="119" t="s">
        <v>124</v>
      </c>
      <c r="F25" s="128">
        <v>1161</v>
      </c>
      <c r="G25" s="124">
        <v>1161</v>
      </c>
      <c r="I25" s="10">
        <v>1</v>
      </c>
    </row>
    <row r="26" spans="1:9" x14ac:dyDescent="0.3">
      <c r="A26" s="7" t="s">
        <v>102</v>
      </c>
      <c r="B26" s="125">
        <v>36</v>
      </c>
      <c r="C26" s="126">
        <v>36</v>
      </c>
      <c r="D26" s="125">
        <v>72</v>
      </c>
      <c r="E26" s="125">
        <v>402</v>
      </c>
      <c r="F26" s="125">
        <v>402</v>
      </c>
      <c r="G26" s="127">
        <v>804</v>
      </c>
      <c r="I26" s="10">
        <v>2</v>
      </c>
    </row>
    <row r="27" spans="1:9" x14ac:dyDescent="0.3">
      <c r="A27" s="7" t="s">
        <v>103</v>
      </c>
      <c r="B27" s="119" t="s">
        <v>124</v>
      </c>
      <c r="C27" s="126">
        <v>41</v>
      </c>
      <c r="D27" s="125">
        <v>192</v>
      </c>
      <c r="E27" s="119" t="s">
        <v>124</v>
      </c>
      <c r="F27" s="125">
        <v>458</v>
      </c>
      <c r="G27" s="124">
        <v>2143</v>
      </c>
      <c r="I27" s="10">
        <v>3</v>
      </c>
    </row>
    <row r="28" spans="1:9" s="11" customFormat="1" x14ac:dyDescent="0.3">
      <c r="A28" s="7" t="s">
        <v>104</v>
      </c>
      <c r="B28" s="119" t="s">
        <v>124</v>
      </c>
      <c r="C28" s="126">
        <v>26</v>
      </c>
      <c r="D28" s="125">
        <v>72</v>
      </c>
      <c r="E28" s="119" t="s">
        <v>124</v>
      </c>
      <c r="F28" s="125">
        <v>290</v>
      </c>
      <c r="G28" s="127">
        <v>804</v>
      </c>
      <c r="I28" s="10">
        <v>4</v>
      </c>
    </row>
    <row r="29" spans="1:9" s="11" customFormat="1" x14ac:dyDescent="0.3">
      <c r="A29" s="8" t="s">
        <v>105</v>
      </c>
      <c r="B29" s="120" t="s">
        <v>124</v>
      </c>
      <c r="C29" s="130">
        <v>17</v>
      </c>
      <c r="D29" s="131">
        <v>53</v>
      </c>
      <c r="E29" s="120" t="s">
        <v>124</v>
      </c>
      <c r="F29" s="131">
        <v>190</v>
      </c>
      <c r="G29" s="132">
        <v>591</v>
      </c>
      <c r="I29" s="10">
        <v>5</v>
      </c>
    </row>
    <row r="30" spans="1:9" s="11" customFormat="1" x14ac:dyDescent="0.3">
      <c r="I30" s="10">
        <v>6</v>
      </c>
    </row>
    <row r="31" spans="1:9" s="11" customFormat="1" x14ac:dyDescent="0.3">
      <c r="A31" s="6"/>
      <c r="B31" s="6"/>
      <c r="C31" s="6"/>
      <c r="D31" s="15"/>
      <c r="I31" s="10">
        <v>8</v>
      </c>
    </row>
    <row r="32" spans="1:9" x14ac:dyDescent="0.3">
      <c r="A32" s="9" t="s">
        <v>5</v>
      </c>
      <c r="B32" s="141" t="s">
        <v>107</v>
      </c>
      <c r="C32" s="102" t="s">
        <v>108</v>
      </c>
      <c r="G32" s="11"/>
      <c r="I32" s="10">
        <v>9</v>
      </c>
    </row>
    <row r="33" spans="1:9" x14ac:dyDescent="0.3">
      <c r="A33" s="80" t="s">
        <v>78</v>
      </c>
      <c r="B33" s="108">
        <v>104</v>
      </c>
      <c r="C33" s="13">
        <v>1116</v>
      </c>
      <c r="G33" s="11"/>
      <c r="I33" s="10">
        <v>10</v>
      </c>
    </row>
    <row r="34" spans="1:9" x14ac:dyDescent="0.3">
      <c r="A34" s="2" t="s">
        <v>46</v>
      </c>
      <c r="B34" s="104">
        <v>104</v>
      </c>
      <c r="C34" s="13">
        <v>1116</v>
      </c>
      <c r="G34" s="11"/>
    </row>
    <row r="35" spans="1:9" x14ac:dyDescent="0.3">
      <c r="A35" s="2" t="s">
        <v>79</v>
      </c>
      <c r="B35" s="104">
        <v>313</v>
      </c>
      <c r="C35" s="13">
        <v>3493</v>
      </c>
      <c r="G35" s="11"/>
    </row>
    <row r="36" spans="1:9" x14ac:dyDescent="0.3">
      <c r="A36" s="2" t="s">
        <v>47</v>
      </c>
      <c r="B36" s="104">
        <v>83</v>
      </c>
      <c r="C36" s="3">
        <v>926</v>
      </c>
      <c r="G36" s="11"/>
    </row>
    <row r="37" spans="1:9" x14ac:dyDescent="0.3">
      <c r="A37" s="7" t="s">
        <v>81</v>
      </c>
      <c r="B37" s="104">
        <v>83</v>
      </c>
      <c r="C37" s="3">
        <v>926</v>
      </c>
      <c r="G37" s="11"/>
    </row>
    <row r="38" spans="1:9" x14ac:dyDescent="0.3">
      <c r="A38" s="2" t="s">
        <v>48</v>
      </c>
      <c r="B38" s="104">
        <v>62</v>
      </c>
      <c r="C38" s="3">
        <v>692</v>
      </c>
      <c r="G38" s="11"/>
    </row>
    <row r="39" spans="1:9" x14ac:dyDescent="0.3">
      <c r="A39" s="2" t="s">
        <v>80</v>
      </c>
      <c r="B39" s="104">
        <v>29</v>
      </c>
      <c r="C39" s="3">
        <v>324</v>
      </c>
      <c r="G39" s="11"/>
    </row>
    <row r="40" spans="1:9" s="11" customFormat="1" x14ac:dyDescent="0.3">
      <c r="A40" s="2" t="s">
        <v>143</v>
      </c>
      <c r="B40" s="104">
        <v>37</v>
      </c>
      <c r="C40" s="3">
        <v>413</v>
      </c>
    </row>
    <row r="41" spans="1:9" x14ac:dyDescent="0.3">
      <c r="A41" s="2" t="s">
        <v>41</v>
      </c>
      <c r="B41" s="104">
        <v>83</v>
      </c>
      <c r="C41" s="3">
        <v>926</v>
      </c>
      <c r="G41" s="11"/>
    </row>
    <row r="42" spans="1:9" x14ac:dyDescent="0.3">
      <c r="A42" s="2" t="s">
        <v>42</v>
      </c>
      <c r="B42" s="104">
        <v>91</v>
      </c>
      <c r="C42" s="13">
        <v>1016</v>
      </c>
      <c r="G42" s="11"/>
      <c r="I42" s="11"/>
    </row>
    <row r="43" spans="1:9" x14ac:dyDescent="0.3">
      <c r="A43" s="2" t="s">
        <v>43</v>
      </c>
      <c r="B43" s="104">
        <v>104</v>
      </c>
      <c r="C43" s="13">
        <v>1161</v>
      </c>
      <c r="G43" s="11"/>
    </row>
    <row r="44" spans="1:9" x14ac:dyDescent="0.3">
      <c r="A44" s="2" t="s">
        <v>44</v>
      </c>
      <c r="B44" s="104">
        <v>62</v>
      </c>
      <c r="C44" s="3">
        <v>692</v>
      </c>
      <c r="G44" s="11"/>
    </row>
    <row r="45" spans="1:9" x14ac:dyDescent="0.3">
      <c r="A45" s="2" t="s">
        <v>45</v>
      </c>
      <c r="B45" s="104">
        <v>62</v>
      </c>
      <c r="C45" s="3">
        <v>692</v>
      </c>
      <c r="G45" s="11"/>
    </row>
    <row r="46" spans="1:9" x14ac:dyDescent="0.3">
      <c r="A46" s="2" t="s">
        <v>50</v>
      </c>
      <c r="B46" s="104">
        <v>83</v>
      </c>
      <c r="C46" s="3">
        <v>926</v>
      </c>
      <c r="G46" s="11"/>
    </row>
    <row r="47" spans="1:9" ht="15.6" x14ac:dyDescent="0.3">
      <c r="A47" s="7" t="s">
        <v>74</v>
      </c>
      <c r="B47" s="104">
        <v>208</v>
      </c>
      <c r="C47" s="107">
        <v>2321</v>
      </c>
      <c r="G47" s="11"/>
    </row>
    <row r="48" spans="1:9" s="11" customFormat="1" x14ac:dyDescent="0.3">
      <c r="A48" s="7" t="s">
        <v>106</v>
      </c>
      <c r="B48" s="104">
        <v>83</v>
      </c>
      <c r="C48" s="3">
        <v>926</v>
      </c>
    </row>
    <row r="49" spans="1:7" s="11" customFormat="1" x14ac:dyDescent="0.3">
      <c r="A49" s="167" t="s">
        <v>144</v>
      </c>
      <c r="B49" s="104">
        <v>62</v>
      </c>
      <c r="C49" s="3">
        <v>692</v>
      </c>
    </row>
    <row r="50" spans="1:7" x14ac:dyDescent="0.3">
      <c r="A50" s="7" t="s">
        <v>49</v>
      </c>
      <c r="B50" s="104">
        <v>37</v>
      </c>
      <c r="C50" s="3">
        <v>413</v>
      </c>
      <c r="G50" s="11"/>
    </row>
    <row r="51" spans="1:7" x14ac:dyDescent="0.3">
      <c r="A51" s="2" t="s">
        <v>59</v>
      </c>
      <c r="B51" s="104">
        <v>83</v>
      </c>
      <c r="C51" s="3">
        <v>926</v>
      </c>
      <c r="D51" s="11"/>
      <c r="G51" s="11"/>
    </row>
    <row r="52" spans="1:7" x14ac:dyDescent="0.3">
      <c r="A52" s="8" t="s">
        <v>51</v>
      </c>
      <c r="B52" s="105">
        <v>62</v>
      </c>
      <c r="C52" s="5">
        <v>692</v>
      </c>
      <c r="D52" s="11"/>
      <c r="G52" s="11"/>
    </row>
    <row r="53" spans="1:7" x14ac:dyDescent="0.3">
      <c r="A53" s="6"/>
      <c r="B53" s="6"/>
      <c r="C53" s="6"/>
      <c r="D53" s="11"/>
      <c r="G53" s="11"/>
    </row>
    <row r="54" spans="1:7" x14ac:dyDescent="0.3">
      <c r="A54" s="6"/>
      <c r="B54" s="6"/>
      <c r="C54" s="6"/>
      <c r="D54" s="11"/>
      <c r="G54" s="11"/>
    </row>
    <row r="55" spans="1:7" s="11" customFormat="1" x14ac:dyDescent="0.3">
      <c r="A55" s="9" t="s">
        <v>19</v>
      </c>
      <c r="B55" s="139" t="s">
        <v>107</v>
      </c>
      <c r="C55" s="137" t="s">
        <v>108</v>
      </c>
    </row>
    <row r="56" spans="1:7" s="11" customFormat="1" x14ac:dyDescent="0.3">
      <c r="A56" s="2" t="s">
        <v>6</v>
      </c>
      <c r="B56" s="2">
        <v>15</v>
      </c>
      <c r="C56" s="3">
        <v>167</v>
      </c>
    </row>
    <row r="57" spans="1:7" s="11" customFormat="1" x14ac:dyDescent="0.3">
      <c r="A57" s="4" t="s">
        <v>111</v>
      </c>
      <c r="B57" s="4">
        <v>30</v>
      </c>
      <c r="C57" s="5">
        <v>335</v>
      </c>
    </row>
    <row r="58" spans="1:7" s="11" customFormat="1" x14ac:dyDescent="0.3">
      <c r="A58" s="1"/>
    </row>
    <row r="59" spans="1:7" s="11" customFormat="1" x14ac:dyDescent="0.3">
      <c r="A59" s="1"/>
    </row>
    <row r="60" spans="1:7" s="11" customFormat="1" x14ac:dyDescent="0.3">
      <c r="A60" s="9" t="s">
        <v>53</v>
      </c>
      <c r="B60" s="139" t="s">
        <v>107</v>
      </c>
      <c r="C60" s="137" t="s">
        <v>108</v>
      </c>
    </row>
    <row r="61" spans="1:7" x14ac:dyDescent="0.3">
      <c r="A61" s="2" t="s">
        <v>137</v>
      </c>
      <c r="B61" s="104">
        <v>125</v>
      </c>
      <c r="C61" s="13">
        <v>1395</v>
      </c>
      <c r="D61" s="11"/>
      <c r="G61" s="11"/>
    </row>
    <row r="62" spans="1:7" s="11" customFormat="1" x14ac:dyDescent="0.3">
      <c r="A62" s="2" t="s">
        <v>138</v>
      </c>
      <c r="B62" s="104">
        <v>208</v>
      </c>
      <c r="C62" s="13">
        <v>2325</v>
      </c>
    </row>
    <row r="63" spans="1:7" x14ac:dyDescent="0.3">
      <c r="A63" s="2" t="s">
        <v>139</v>
      </c>
      <c r="B63" s="104">
        <v>375</v>
      </c>
      <c r="C63" s="13">
        <v>4185</v>
      </c>
      <c r="D63" s="11"/>
      <c r="G63" s="11"/>
    </row>
    <row r="64" spans="1:7" s="11" customFormat="1" x14ac:dyDescent="0.3">
      <c r="A64" s="2" t="s">
        <v>140</v>
      </c>
      <c r="B64" s="104">
        <v>620</v>
      </c>
      <c r="C64" s="13">
        <v>6920</v>
      </c>
    </row>
    <row r="65" spans="1:9" x14ac:dyDescent="0.3">
      <c r="A65" s="2" t="s">
        <v>141</v>
      </c>
      <c r="B65" s="104">
        <v>829</v>
      </c>
      <c r="C65" s="13">
        <v>9252</v>
      </c>
      <c r="D65" s="11"/>
      <c r="G65" s="11"/>
    </row>
    <row r="66" spans="1:9" x14ac:dyDescent="0.3">
      <c r="A66" s="2" t="s">
        <v>142</v>
      </c>
      <c r="B66" s="110">
        <v>1020</v>
      </c>
      <c r="C66" s="13">
        <v>11383</v>
      </c>
      <c r="G66" s="11"/>
    </row>
    <row r="67" spans="1:9" s="11" customFormat="1" x14ac:dyDescent="0.3">
      <c r="A67" s="9" t="s">
        <v>17</v>
      </c>
      <c r="B67" s="139" t="s">
        <v>107</v>
      </c>
      <c r="C67" s="137" t="s">
        <v>108</v>
      </c>
    </row>
    <row r="68" spans="1:9" x14ac:dyDescent="0.3">
      <c r="A68" s="4" t="s">
        <v>17</v>
      </c>
      <c r="B68" s="104">
        <v>8</v>
      </c>
      <c r="C68" s="3">
        <v>89</v>
      </c>
      <c r="G68" s="11"/>
    </row>
    <row r="69" spans="1:9" s="11" customFormat="1" x14ac:dyDescent="0.3">
      <c r="A69" s="100" t="s">
        <v>75</v>
      </c>
      <c r="B69" s="105">
        <v>206</v>
      </c>
      <c r="C69" s="14">
        <v>2299</v>
      </c>
    </row>
    <row r="70" spans="1:9" s="11" customFormat="1" x14ac:dyDescent="0.3">
      <c r="A70"/>
    </row>
    <row r="71" spans="1:9" s="11" customFormat="1" x14ac:dyDescent="0.3"/>
    <row r="72" spans="1:9" x14ac:dyDescent="0.3">
      <c r="A72" s="1"/>
      <c r="B72"/>
      <c r="G72" s="11"/>
      <c r="H72" s="11"/>
    </row>
    <row r="73" spans="1:9" x14ac:dyDescent="0.3">
      <c r="B73"/>
      <c r="G73" s="11"/>
    </row>
    <row r="74" spans="1:9" x14ac:dyDescent="0.3">
      <c r="A74" s="9" t="s">
        <v>60</v>
      </c>
      <c r="B74" s="140" t="s">
        <v>107</v>
      </c>
      <c r="C74" s="137" t="s">
        <v>108</v>
      </c>
      <c r="G74" s="11"/>
    </row>
    <row r="75" spans="1:9" x14ac:dyDescent="0.3">
      <c r="A75" s="2" t="s">
        <v>137</v>
      </c>
      <c r="B75" s="2">
        <v>104</v>
      </c>
      <c r="C75" s="13">
        <v>1161</v>
      </c>
      <c r="G75" s="11"/>
      <c r="H75" s="11"/>
      <c r="I75" s="11"/>
    </row>
    <row r="76" spans="1:9" s="11" customFormat="1" x14ac:dyDescent="0.3">
      <c r="A76" s="2" t="s">
        <v>138</v>
      </c>
      <c r="B76" s="2">
        <v>208</v>
      </c>
      <c r="C76" s="13">
        <v>2325</v>
      </c>
    </row>
    <row r="77" spans="1:9" s="11" customFormat="1" x14ac:dyDescent="0.3">
      <c r="A77" s="2" t="s">
        <v>139</v>
      </c>
      <c r="B77" s="2">
        <v>291</v>
      </c>
      <c r="C77" s="13">
        <v>3248</v>
      </c>
    </row>
    <row r="78" spans="1:9" s="11" customFormat="1" x14ac:dyDescent="0.3">
      <c r="A78" s="2" t="s">
        <v>140</v>
      </c>
      <c r="B78" s="2">
        <v>375</v>
      </c>
      <c r="C78" s="13">
        <v>4185</v>
      </c>
    </row>
    <row r="79" spans="1:9" x14ac:dyDescent="0.3">
      <c r="A79" s="2" t="s">
        <v>141</v>
      </c>
      <c r="B79" s="2">
        <v>458</v>
      </c>
      <c r="C79" s="13">
        <v>5111</v>
      </c>
      <c r="G79" s="11"/>
      <c r="H79" s="11"/>
      <c r="I79" s="11"/>
    </row>
    <row r="80" spans="1:9" s="11" customFormat="1" x14ac:dyDescent="0.3">
      <c r="A80" s="4" t="s">
        <v>142</v>
      </c>
      <c r="B80" s="4">
        <v>604</v>
      </c>
      <c r="C80" s="14">
        <v>6741</v>
      </c>
    </row>
    <row r="81" spans="1:9" x14ac:dyDescent="0.3">
      <c r="A81" s="1"/>
      <c r="B81"/>
      <c r="C81"/>
      <c r="G81" s="11"/>
      <c r="H81" s="11"/>
      <c r="I81" s="11"/>
    </row>
    <row r="82" spans="1:9" x14ac:dyDescent="0.3">
      <c r="A82" s="9" t="s">
        <v>61</v>
      </c>
      <c r="B82" s="139" t="s">
        <v>107</v>
      </c>
      <c r="C82" s="137" t="s">
        <v>108</v>
      </c>
      <c r="G82" s="11"/>
      <c r="H82" s="11"/>
      <c r="I82" s="11"/>
    </row>
    <row r="83" spans="1:9" s="11" customFormat="1" x14ac:dyDescent="0.3">
      <c r="A83" s="2" t="s">
        <v>137</v>
      </c>
      <c r="B83" s="2">
        <v>62</v>
      </c>
      <c r="C83" s="3">
        <v>692</v>
      </c>
    </row>
    <row r="84" spans="1:9" s="11" customFormat="1" x14ac:dyDescent="0.3">
      <c r="A84" s="2" t="s">
        <v>138</v>
      </c>
      <c r="B84" s="2">
        <v>92</v>
      </c>
      <c r="C84" s="3">
        <v>1027</v>
      </c>
    </row>
    <row r="85" spans="1:9" x14ac:dyDescent="0.3">
      <c r="A85" s="2" t="s">
        <v>139</v>
      </c>
      <c r="B85" s="2">
        <v>125</v>
      </c>
      <c r="C85" s="13">
        <v>1395</v>
      </c>
      <c r="G85" s="11"/>
      <c r="H85" s="11"/>
      <c r="I85" s="11"/>
    </row>
    <row r="86" spans="1:9" s="11" customFormat="1" x14ac:dyDescent="0.3">
      <c r="A86" s="2" t="s">
        <v>140</v>
      </c>
      <c r="B86" s="2">
        <v>167</v>
      </c>
      <c r="C86" s="13">
        <v>1864</v>
      </c>
    </row>
    <row r="87" spans="1:9" x14ac:dyDescent="0.3">
      <c r="A87" s="2" t="s">
        <v>141</v>
      </c>
      <c r="B87" s="2">
        <v>208</v>
      </c>
      <c r="C87" s="13">
        <v>2321</v>
      </c>
      <c r="G87" s="11"/>
      <c r="H87" s="11"/>
      <c r="I87" s="11"/>
    </row>
    <row r="88" spans="1:9" x14ac:dyDescent="0.3">
      <c r="A88" s="4" t="s">
        <v>142</v>
      </c>
      <c r="B88" s="4">
        <v>333</v>
      </c>
      <c r="C88" s="14">
        <v>3716</v>
      </c>
      <c r="G88" s="11"/>
      <c r="H88" s="11"/>
      <c r="I88" s="11"/>
    </row>
    <row r="89" spans="1:9" s="11" customFormat="1" x14ac:dyDescent="0.3">
      <c r="A89"/>
      <c r="C89"/>
    </row>
    <row r="90" spans="1:9" s="11" customFormat="1" x14ac:dyDescent="0.3">
      <c r="B90"/>
      <c r="C90"/>
    </row>
    <row r="91" spans="1:9" s="11" customFormat="1" x14ac:dyDescent="0.3">
      <c r="A91"/>
      <c r="B91"/>
    </row>
    <row r="92" spans="1:9" s="11" customFormat="1" x14ac:dyDescent="0.3">
      <c r="A92" s="95" t="s">
        <v>71</v>
      </c>
      <c r="B92" s="138" t="s">
        <v>109</v>
      </c>
      <c r="C92" s="137" t="s">
        <v>108</v>
      </c>
    </row>
    <row r="93" spans="1:9" s="11" customFormat="1" x14ac:dyDescent="0.3">
      <c r="A93" s="2" t="s">
        <v>125</v>
      </c>
      <c r="B93" s="104">
        <v>179</v>
      </c>
      <c r="C93" s="110">
        <v>1998</v>
      </c>
    </row>
    <row r="94" spans="1:9" s="11" customFormat="1" x14ac:dyDescent="0.3">
      <c r="A94" s="2" t="s">
        <v>126</v>
      </c>
      <c r="B94" s="104">
        <v>179</v>
      </c>
      <c r="C94" s="110">
        <v>1998</v>
      </c>
    </row>
    <row r="95" spans="1:9" s="11" customFormat="1" x14ac:dyDescent="0.3">
      <c r="A95" s="2" t="s">
        <v>127</v>
      </c>
      <c r="B95" s="104">
        <v>179</v>
      </c>
      <c r="C95" s="110">
        <v>1998</v>
      </c>
    </row>
    <row r="96" spans="1:9" s="11" customFormat="1" x14ac:dyDescent="0.3">
      <c r="A96" s="2" t="s">
        <v>128</v>
      </c>
      <c r="B96" s="104">
        <v>179</v>
      </c>
      <c r="C96" s="110">
        <v>1998</v>
      </c>
    </row>
    <row r="97" spans="1:9" s="11" customFormat="1" x14ac:dyDescent="0.3">
      <c r="A97" s="4" t="s">
        <v>110</v>
      </c>
      <c r="B97" s="109">
        <v>1250</v>
      </c>
      <c r="C97" s="109">
        <v>13950</v>
      </c>
    </row>
    <row r="98" spans="1:9" x14ac:dyDescent="0.3">
      <c r="A98" s="11"/>
      <c r="D98" s="11"/>
      <c r="G98" s="11"/>
      <c r="H98" s="11"/>
      <c r="I98" s="11"/>
    </row>
    <row r="99" spans="1:9" x14ac:dyDescent="0.3">
      <c r="A99" s="11"/>
      <c r="D99" s="11"/>
      <c r="G99" s="11"/>
      <c r="H99" s="11"/>
      <c r="I99" s="11"/>
    </row>
    <row r="100" spans="1:9" x14ac:dyDescent="0.3">
      <c r="A100" s="111" t="s">
        <v>119</v>
      </c>
      <c r="B100" s="111"/>
      <c r="C100" s="111"/>
      <c r="D100" s="134"/>
      <c r="G100" s="11"/>
      <c r="H100" s="11"/>
      <c r="I100" s="11"/>
    </row>
    <row r="101" spans="1:9" x14ac:dyDescent="0.3">
      <c r="A101" s="112" t="s">
        <v>112</v>
      </c>
      <c r="B101" s="115" t="s">
        <v>115</v>
      </c>
      <c r="C101" s="115" t="s">
        <v>114</v>
      </c>
      <c r="D101" s="135" t="s">
        <v>113</v>
      </c>
      <c r="H101" s="11"/>
      <c r="I101" s="11"/>
    </row>
    <row r="102" spans="1:9" x14ac:dyDescent="0.3">
      <c r="A102" s="113" t="s">
        <v>116</v>
      </c>
      <c r="B102" s="108">
        <v>40</v>
      </c>
      <c r="C102" s="108">
        <v>50</v>
      </c>
      <c r="D102" s="114">
        <v>60</v>
      </c>
      <c r="H102" s="11"/>
      <c r="I102" s="11"/>
    </row>
    <row r="103" spans="1:9" s="11" customFormat="1" x14ac:dyDescent="0.3">
      <c r="A103" s="4" t="s">
        <v>118</v>
      </c>
      <c r="B103" s="105">
        <v>2</v>
      </c>
      <c r="C103" s="105">
        <v>5</v>
      </c>
      <c r="D103" s="5">
        <v>10</v>
      </c>
    </row>
    <row r="104" spans="1:9" s="11" customFormat="1" x14ac:dyDescent="0.3">
      <c r="A104"/>
      <c r="D104"/>
    </row>
    <row r="105" spans="1:9" x14ac:dyDescent="0.3">
      <c r="A105" s="111" t="s">
        <v>119</v>
      </c>
      <c r="B105" s="111" t="s">
        <v>115</v>
      </c>
      <c r="C105" s="111" t="s">
        <v>114</v>
      </c>
      <c r="D105" s="136" t="s">
        <v>113</v>
      </c>
      <c r="G105" s="11"/>
      <c r="H105" s="11"/>
      <c r="I105" s="11"/>
    </row>
    <row r="106" spans="1:9" x14ac:dyDescent="0.3">
      <c r="A106" s="133" t="s">
        <v>117</v>
      </c>
      <c r="B106" s="133">
        <v>480</v>
      </c>
      <c r="C106" s="133">
        <v>600</v>
      </c>
      <c r="D106" s="133">
        <v>720</v>
      </c>
      <c r="G106" s="11"/>
      <c r="H106" s="11"/>
      <c r="I106" s="11"/>
    </row>
    <row r="107" spans="1:9" x14ac:dyDescent="0.3">
      <c r="G107" s="11"/>
      <c r="H107" s="11"/>
      <c r="I107" s="11"/>
    </row>
    <row r="108" spans="1:9" x14ac:dyDescent="0.3">
      <c r="G108" s="11"/>
      <c r="H108" s="11"/>
      <c r="I108" s="11"/>
    </row>
    <row r="109" spans="1:9" x14ac:dyDescent="0.3">
      <c r="G109" s="11"/>
      <c r="H109" s="11"/>
    </row>
    <row r="110" spans="1:9" x14ac:dyDescent="0.3">
      <c r="G110" s="11"/>
    </row>
    <row r="111" spans="1:9" x14ac:dyDescent="0.3">
      <c r="G111" s="11"/>
    </row>
    <row r="112" spans="1:9" x14ac:dyDescent="0.3">
      <c r="G112" s="11"/>
    </row>
    <row r="113" spans="1:7" x14ac:dyDescent="0.3">
      <c r="G113" s="11"/>
    </row>
    <row r="115" spans="1:7" x14ac:dyDescent="0.3">
      <c r="A115" s="11"/>
    </row>
    <row r="116" spans="1:7" x14ac:dyDescent="0.3">
      <c r="A116" s="11"/>
    </row>
    <row r="117" spans="1:7" x14ac:dyDescent="0.3">
      <c r="A117" s="11"/>
    </row>
    <row r="118" spans="1:7" x14ac:dyDescent="0.3">
      <c r="A118" s="11"/>
    </row>
    <row r="119" spans="1:7" x14ac:dyDescent="0.3">
      <c r="A119" s="11"/>
    </row>
    <row r="120" spans="1:7" x14ac:dyDescent="0.3">
      <c r="A120" s="11"/>
    </row>
    <row r="121" spans="1:7" x14ac:dyDescent="0.3">
      <c r="A121" s="11"/>
    </row>
  </sheetData>
  <mergeCells count="2">
    <mergeCell ref="B5:D5"/>
    <mergeCell ref="E5:G5"/>
  </mergeCells>
  <dataValidations count="1">
    <dataValidation allowBlank="1" showInputMessage="1" showErrorMessage="1" errorTitle="Brak możliwości edycji" sqref="G10"/>
  </dataValidation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abonament miesięczny</vt:lpstr>
      <vt:lpstr>abonament roczny</vt:lpstr>
      <vt:lpstr>Cennik enova365</vt:lpstr>
      <vt:lpstr>'abonament miesięczny'!Obszar_wydruku</vt:lpstr>
      <vt:lpstr>'abonament roczny'!Obszar_wydruku</vt:lpstr>
      <vt:lpstr>Opcja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Koziol;sabina.dziubinska@enova.pl</dc:creator>
  <cp:lastModifiedBy>Sabina Jurek</cp:lastModifiedBy>
  <cp:lastPrinted>2014-11-18T08:32:43Z</cp:lastPrinted>
  <dcterms:created xsi:type="dcterms:W3CDTF">2012-10-16T06:15:01Z</dcterms:created>
  <dcterms:modified xsi:type="dcterms:W3CDTF">2019-11-15T15:18:58Z</dcterms:modified>
</cp:coreProperties>
</file>