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DANE\PUBLICZNY2\DH\ACCOUNTING\WEWNĘTRZNE_ACCM\KALKULATOR\"/>
    </mc:Choice>
  </mc:AlternateContent>
  <bookViews>
    <workbookView xWindow="0" yWindow="0" windowWidth="23040" windowHeight="8328" tabRatio="774"/>
  </bookViews>
  <sheets>
    <sheet name="enova365 - Instalacja 1-bazowa" sheetId="10" r:id="rId1"/>
    <sheet name="enova365 - Biuro Rachunkowe" sheetId="11" r:id="rId2"/>
    <sheet name="enova365 - BRdGr pow.10" sheetId="13" r:id="rId3"/>
    <sheet name="enova365 - Wielofirmowa" sheetId="12" r:id="rId4"/>
    <sheet name="Cennik enova365" sheetId="9" r:id="rId5"/>
  </sheets>
  <definedNames>
    <definedName name="_xlnm._FilterDatabase" localSheetId="1" hidden="1">'enova365 - Biuro Rachunkowe'!$H$1:$H$90</definedName>
    <definedName name="_xlnm._FilterDatabase" localSheetId="2" hidden="1">'enova365 - BRdGr pow.10'!$H$1:$H$93</definedName>
    <definedName name="_xlnm._FilterDatabase" localSheetId="0" hidden="1">'enova365 - Instalacja 1-bazowa'!$H$1:$H$119</definedName>
    <definedName name="_xlnm._FilterDatabase" localSheetId="3" hidden="1">'enova365 - Wielofirmowa'!$H$1:$H$89</definedName>
    <definedName name="_xlnm.Print_Area" localSheetId="0">'enova365 - Instalacja 1-bazowa'!$A$3:$A$26</definedName>
  </definedNames>
  <calcPr calcId="162913"/>
</workbook>
</file>

<file path=xl/calcChain.xml><?xml version="1.0" encoding="utf-8"?>
<calcChain xmlns="http://schemas.openxmlformats.org/spreadsheetml/2006/main">
  <c r="H55" i="10" l="1"/>
  <c r="G55" i="10"/>
  <c r="D55" i="10"/>
  <c r="H56" i="11"/>
  <c r="G56" i="11"/>
  <c r="D56" i="11"/>
  <c r="H56" i="13"/>
  <c r="G56" i="13"/>
  <c r="D56" i="13"/>
  <c r="H55" i="12"/>
  <c r="D55" i="12"/>
  <c r="H42" i="12" l="1"/>
  <c r="D42" i="12"/>
  <c r="H45" i="13"/>
  <c r="G45" i="13"/>
  <c r="D45" i="13"/>
  <c r="H45" i="11"/>
  <c r="G45" i="11"/>
  <c r="D45" i="11"/>
  <c r="H42" i="10"/>
  <c r="G42" i="10"/>
  <c r="D42" i="10"/>
  <c r="D15" i="13" l="1"/>
  <c r="D16" i="13"/>
  <c r="C15" i="13"/>
  <c r="G15" i="13" s="1"/>
  <c r="H15" i="13" s="1"/>
  <c r="D10" i="13"/>
  <c r="D11" i="13"/>
  <c r="D12" i="13"/>
  <c r="C10" i="13"/>
  <c r="G10" i="13" s="1"/>
  <c r="H10" i="13" s="1"/>
  <c r="C11" i="13"/>
  <c r="G11" i="13" s="1"/>
  <c r="H11" i="13" s="1"/>
  <c r="D15" i="11"/>
  <c r="C15" i="11"/>
  <c r="G15" i="11" s="1"/>
  <c r="H15" i="11" s="1"/>
  <c r="D10" i="11"/>
  <c r="D11" i="11"/>
  <c r="C10" i="11"/>
  <c r="G10" i="11" s="1"/>
  <c r="C11" i="11"/>
  <c r="G11" i="11" s="1"/>
  <c r="H11" i="11" s="1"/>
  <c r="H10" i="11" l="1"/>
  <c r="C65" i="12" l="1"/>
  <c r="C68" i="12" l="1"/>
  <c r="C67" i="12"/>
  <c r="C35" i="13"/>
  <c r="C28" i="13"/>
  <c r="C26" i="13"/>
  <c r="C35" i="11"/>
  <c r="C28" i="11"/>
  <c r="C26" i="11"/>
  <c r="C70" i="10"/>
  <c r="C69" i="10"/>
  <c r="C67" i="10"/>
  <c r="E76" i="13" l="1"/>
  <c r="B76" i="13"/>
  <c r="C76" i="13" s="1"/>
  <c r="G76" i="13" s="1"/>
  <c r="H76" i="13" s="1"/>
  <c r="C75" i="13"/>
  <c r="G75" i="13" s="1"/>
  <c r="H74" i="13"/>
  <c r="G72" i="13"/>
  <c r="G73" i="13" s="1"/>
  <c r="H73" i="13" s="1"/>
  <c r="G66" i="13"/>
  <c r="H66" i="13" s="1"/>
  <c r="C66" i="13"/>
  <c r="C65" i="13"/>
  <c r="H60" i="13"/>
  <c r="D60" i="13"/>
  <c r="H59" i="13"/>
  <c r="D59" i="13"/>
  <c r="H58" i="13"/>
  <c r="D58" i="13"/>
  <c r="H57" i="13"/>
  <c r="D57" i="13"/>
  <c r="H55" i="13"/>
  <c r="D55" i="13"/>
  <c r="H54" i="13"/>
  <c r="D54" i="13"/>
  <c r="H53" i="13"/>
  <c r="D53" i="13"/>
  <c r="H52" i="13"/>
  <c r="D52" i="13"/>
  <c r="H51" i="13"/>
  <c r="D51" i="13"/>
  <c r="H50" i="13"/>
  <c r="D50" i="13"/>
  <c r="H49" i="13"/>
  <c r="D49" i="13"/>
  <c r="H48" i="13"/>
  <c r="D48" i="13"/>
  <c r="H47" i="13"/>
  <c r="D47" i="13"/>
  <c r="H46" i="13"/>
  <c r="D46" i="13"/>
  <c r="H44" i="13"/>
  <c r="D44" i="13"/>
  <c r="H43" i="13"/>
  <c r="D43" i="13"/>
  <c r="H42" i="13"/>
  <c r="D42" i="13"/>
  <c r="H41" i="13"/>
  <c r="D41" i="13"/>
  <c r="H40" i="13"/>
  <c r="H62" i="13" s="1"/>
  <c r="H37" i="13" s="1"/>
  <c r="D40" i="13"/>
  <c r="H39" i="13"/>
  <c r="D39" i="13"/>
  <c r="H38" i="13"/>
  <c r="D38" i="13"/>
  <c r="G35" i="13"/>
  <c r="G36" i="13" s="1"/>
  <c r="G32" i="13"/>
  <c r="H32" i="13" s="1"/>
  <c r="C32" i="13"/>
  <c r="G29" i="13"/>
  <c r="H29" i="13" s="1"/>
  <c r="C29" i="13"/>
  <c r="G28" i="13"/>
  <c r="H28" i="13" s="1"/>
  <c r="G27" i="13"/>
  <c r="H27" i="13" s="1"/>
  <c r="C27" i="13"/>
  <c r="G26" i="13"/>
  <c r="D23" i="13"/>
  <c r="C23" i="13"/>
  <c r="G22" i="13"/>
  <c r="H22" i="13" s="1"/>
  <c r="D22" i="13"/>
  <c r="C22" i="13"/>
  <c r="G21" i="13"/>
  <c r="H21" i="13" s="1"/>
  <c r="D21" i="13"/>
  <c r="C21" i="13"/>
  <c r="G20" i="13"/>
  <c r="D20" i="13"/>
  <c r="C20" i="13"/>
  <c r="M17" i="13"/>
  <c r="D17" i="13"/>
  <c r="C17" i="13"/>
  <c r="G17" i="13" s="1"/>
  <c r="H17" i="13" s="1"/>
  <c r="M16" i="13"/>
  <c r="C16" i="13"/>
  <c r="G16" i="13" s="1"/>
  <c r="H16" i="13" s="1"/>
  <c r="M14" i="13"/>
  <c r="G14" i="13"/>
  <c r="H14" i="13" s="1"/>
  <c r="C14" i="13"/>
  <c r="M13" i="13"/>
  <c r="D13" i="13"/>
  <c r="C13" i="13"/>
  <c r="G13" i="13" s="1"/>
  <c r="H13" i="13" s="1"/>
  <c r="M12" i="13"/>
  <c r="C12" i="13"/>
  <c r="G12" i="13" s="1"/>
  <c r="H12" i="13" s="1"/>
  <c r="M9" i="13"/>
  <c r="D9" i="13"/>
  <c r="C9" i="13"/>
  <c r="G9" i="13" s="1"/>
  <c r="H9" i="13" s="1"/>
  <c r="D8" i="13"/>
  <c r="C8" i="13"/>
  <c r="G8" i="13" s="1"/>
  <c r="H8" i="13" s="1"/>
  <c r="D7" i="13"/>
  <c r="C7" i="13"/>
  <c r="G7" i="13" s="1"/>
  <c r="H7" i="13" s="1"/>
  <c r="J6" i="13"/>
  <c r="D6" i="13"/>
  <c r="C6" i="13"/>
  <c r="G6" i="13" s="1"/>
  <c r="H6" i="13" s="1"/>
  <c r="D5" i="13"/>
  <c r="C5" i="13"/>
  <c r="G5" i="13" s="1"/>
  <c r="H5" i="13" s="1"/>
  <c r="D4" i="13"/>
  <c r="C4" i="13"/>
  <c r="G4" i="13" s="1"/>
  <c r="H4" i="13" s="1"/>
  <c r="M3" i="13"/>
  <c r="D3" i="13"/>
  <c r="C3" i="13"/>
  <c r="G3" i="13" s="1"/>
  <c r="G66" i="12"/>
  <c r="G27" i="11"/>
  <c r="G68" i="10"/>
  <c r="G18" i="13" l="1"/>
  <c r="G30" i="13"/>
  <c r="H25" i="13" s="1"/>
  <c r="H35" i="13"/>
  <c r="G77" i="13"/>
  <c r="H77" i="13" s="1"/>
  <c r="H75" i="13"/>
  <c r="H26" i="13"/>
  <c r="H31" i="13"/>
  <c r="M18" i="13"/>
  <c r="N18" i="13" s="1"/>
  <c r="H36" i="13"/>
  <c r="H34" i="13"/>
  <c r="H3" i="13"/>
  <c r="H20" i="13"/>
  <c r="G23" i="13"/>
  <c r="H23" i="13" s="1"/>
  <c r="H72" i="13"/>
  <c r="J6" i="11"/>
  <c r="J6" i="10"/>
  <c r="G33" i="13" l="1"/>
  <c r="H33" i="13" s="1"/>
  <c r="H30" i="13"/>
  <c r="G65" i="13"/>
  <c r="G57" i="13"/>
  <c r="G52" i="13"/>
  <c r="G48" i="13"/>
  <c r="G43" i="13"/>
  <c r="G39" i="13"/>
  <c r="G53" i="13"/>
  <c r="G49" i="13"/>
  <c r="G40" i="13"/>
  <c r="G38" i="13"/>
  <c r="G58" i="13"/>
  <c r="G44" i="13"/>
  <c r="G42" i="13"/>
  <c r="G59" i="13"/>
  <c r="G54" i="13"/>
  <c r="G50" i="13"/>
  <c r="G46" i="13"/>
  <c r="G41" i="13"/>
  <c r="G60" i="13"/>
  <c r="G55" i="13"/>
  <c r="G51" i="13"/>
  <c r="G47" i="13"/>
  <c r="G24" i="13"/>
  <c r="H24" i="13" s="1"/>
  <c r="H19" i="13" s="1"/>
  <c r="H18" i="13"/>
  <c r="H2" i="13"/>
  <c r="B78" i="10"/>
  <c r="G62" i="13" l="1"/>
  <c r="H65" i="13"/>
  <c r="G67" i="13"/>
  <c r="J22" i="12"/>
  <c r="J18" i="12"/>
  <c r="J13" i="12"/>
  <c r="J22" i="10"/>
  <c r="J18" i="10"/>
  <c r="J13" i="10"/>
  <c r="N10" i="10"/>
  <c r="G68" i="13" l="1"/>
  <c r="G69" i="13" s="1"/>
  <c r="H64" i="13"/>
  <c r="H63" i="13"/>
  <c r="H67" i="13"/>
  <c r="G71" i="13"/>
  <c r="H71" i="13" s="1"/>
  <c r="D3" i="10"/>
  <c r="H53" i="12"/>
  <c r="H54" i="12"/>
  <c r="H56" i="12"/>
  <c r="H81" i="12"/>
  <c r="G78" i="13" l="1"/>
  <c r="H78" i="13" s="1"/>
  <c r="C82" i="12"/>
  <c r="G82" i="12" s="1"/>
  <c r="H82" i="12" s="1"/>
  <c r="E83" i="12"/>
  <c r="B83" i="12"/>
  <c r="H76" i="10"/>
  <c r="C77" i="10"/>
  <c r="G77" i="10" s="1"/>
  <c r="E78" i="10"/>
  <c r="D53" i="12"/>
  <c r="H71" i="11"/>
  <c r="C72" i="11"/>
  <c r="G72" i="11" s="1"/>
  <c r="H72" i="11" s="1"/>
  <c r="E73" i="11"/>
  <c r="B73" i="11"/>
  <c r="G28" i="11"/>
  <c r="G29" i="11"/>
  <c r="G26" i="11"/>
  <c r="H53" i="10"/>
  <c r="D53" i="10"/>
  <c r="G79" i="13" l="1"/>
  <c r="H79" i="13" s="1"/>
  <c r="C83" i="12"/>
  <c r="G83" i="12" s="1"/>
  <c r="C78" i="10"/>
  <c r="G78" i="10" s="1"/>
  <c r="H78" i="10" s="1"/>
  <c r="H77" i="10"/>
  <c r="C73" i="11"/>
  <c r="G73" i="11" s="1"/>
  <c r="G30" i="11"/>
  <c r="G70" i="10"/>
  <c r="G71" i="10"/>
  <c r="G67" i="10"/>
  <c r="H82" i="10"/>
  <c r="H83" i="10"/>
  <c r="H84" i="10"/>
  <c r="H85" i="10"/>
  <c r="G74" i="10"/>
  <c r="G84" i="12" l="1"/>
  <c r="H84" i="12" s="1"/>
  <c r="H83" i="12"/>
  <c r="G79" i="10"/>
  <c r="H79" i="10" s="1"/>
  <c r="G74" i="11"/>
  <c r="H74" i="11" s="1"/>
  <c r="H73" i="11"/>
  <c r="G66" i="11" l="1"/>
  <c r="G65" i="11"/>
  <c r="G64" i="10"/>
  <c r="G67" i="11" l="1"/>
  <c r="G76" i="12"/>
  <c r="N5" i="10" l="1"/>
  <c r="N4" i="10"/>
  <c r="N3" i="10"/>
  <c r="C4" i="10"/>
  <c r="C5" i="10"/>
  <c r="G5" i="10" s="1"/>
  <c r="J5" i="10" s="1"/>
  <c r="C6" i="10"/>
  <c r="G6" i="10" s="1"/>
  <c r="C7" i="10"/>
  <c r="C8" i="10"/>
  <c r="C9" i="10"/>
  <c r="C10" i="10"/>
  <c r="G10" i="10" s="1"/>
  <c r="J10" i="10" s="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G31" i="12" l="1"/>
  <c r="G69" i="11"/>
  <c r="G31" i="10"/>
  <c r="G68" i="12" l="1"/>
  <c r="G75" i="10" l="1"/>
  <c r="G69" i="12" l="1"/>
  <c r="H69" i="12" s="1"/>
  <c r="H29" i="11"/>
  <c r="C69" i="12"/>
  <c r="G60" i="12"/>
  <c r="D25" i="12"/>
  <c r="D24" i="12"/>
  <c r="D23" i="12"/>
  <c r="D22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C4" i="12"/>
  <c r="G4" i="12" s="1"/>
  <c r="C5" i="12"/>
  <c r="G5" i="12" s="1"/>
  <c r="C6" i="12"/>
  <c r="G6" i="12" s="1"/>
  <c r="C7" i="12"/>
  <c r="G7" i="12" s="1"/>
  <c r="C8" i="12"/>
  <c r="G8" i="12" s="1"/>
  <c r="C9" i="12"/>
  <c r="G9" i="12" s="1"/>
  <c r="C10" i="12"/>
  <c r="C11" i="12"/>
  <c r="G11" i="12" s="1"/>
  <c r="C12" i="12"/>
  <c r="G12" i="12" s="1"/>
  <c r="C13" i="12"/>
  <c r="G13" i="12" s="1"/>
  <c r="C14" i="12"/>
  <c r="G14" i="12" s="1"/>
  <c r="C15" i="12"/>
  <c r="G15" i="12" s="1"/>
  <c r="C16" i="12"/>
  <c r="G16" i="12" s="1"/>
  <c r="C17" i="12"/>
  <c r="G17" i="12" s="1"/>
  <c r="C18" i="12"/>
  <c r="G18" i="12" s="1"/>
  <c r="C19" i="12"/>
  <c r="G19" i="12" s="1"/>
  <c r="C20" i="12"/>
  <c r="G20" i="12" s="1"/>
  <c r="C21" i="12"/>
  <c r="G21" i="12" s="1"/>
  <c r="C22" i="12"/>
  <c r="G22" i="12" s="1"/>
  <c r="C23" i="12"/>
  <c r="G23" i="12" s="1"/>
  <c r="C24" i="12"/>
  <c r="G24" i="12" s="1"/>
  <c r="C25" i="12"/>
  <c r="G25" i="12" s="1"/>
  <c r="H25" i="12" s="1"/>
  <c r="D39" i="11"/>
  <c r="D40" i="11"/>
  <c r="D41" i="11"/>
  <c r="D42" i="11"/>
  <c r="D43" i="11"/>
  <c r="D44" i="11"/>
  <c r="D46" i="11"/>
  <c r="D47" i="11"/>
  <c r="D48" i="11"/>
  <c r="D49" i="11"/>
  <c r="D50" i="11"/>
  <c r="D51" i="11"/>
  <c r="D52" i="11"/>
  <c r="D53" i="11"/>
  <c r="D54" i="11"/>
  <c r="D55" i="11"/>
  <c r="D57" i="11"/>
  <c r="D58" i="11"/>
  <c r="D59" i="11"/>
  <c r="D60" i="11"/>
  <c r="D38" i="11"/>
  <c r="C29" i="11"/>
  <c r="G10" i="12" l="1"/>
  <c r="J10" i="12" s="1"/>
  <c r="M17" i="11"/>
  <c r="M16" i="11"/>
  <c r="M14" i="11"/>
  <c r="M13" i="11"/>
  <c r="M12" i="11"/>
  <c r="M9" i="11"/>
  <c r="M3" i="11"/>
  <c r="C14" i="11"/>
  <c r="G14" i="11"/>
  <c r="H14" i="11" s="1"/>
  <c r="D17" i="11"/>
  <c r="C17" i="11"/>
  <c r="G17" i="11" s="1"/>
  <c r="H17" i="11" s="1"/>
  <c r="C9" i="11"/>
  <c r="G9" i="11" s="1"/>
  <c r="D9" i="11"/>
  <c r="C12" i="11"/>
  <c r="G12" i="11" s="1"/>
  <c r="H12" i="11" s="1"/>
  <c r="D12" i="11"/>
  <c r="C13" i="11"/>
  <c r="G13" i="11" s="1"/>
  <c r="H13" i="11" s="1"/>
  <c r="D13" i="11"/>
  <c r="C8" i="11"/>
  <c r="G8" i="11" s="1"/>
  <c r="D8" i="11"/>
  <c r="C71" i="10"/>
  <c r="H71" i="10" s="1"/>
  <c r="D36" i="10"/>
  <c r="D37" i="10"/>
  <c r="D38" i="10"/>
  <c r="D39" i="10"/>
  <c r="D40" i="10"/>
  <c r="D41" i="10"/>
  <c r="D43" i="10"/>
  <c r="D44" i="10"/>
  <c r="D45" i="10"/>
  <c r="D46" i="10"/>
  <c r="D47" i="10"/>
  <c r="D48" i="10"/>
  <c r="D49" i="10"/>
  <c r="D50" i="10"/>
  <c r="D51" i="10"/>
  <c r="D52" i="10"/>
  <c r="D54" i="10"/>
  <c r="D56" i="10"/>
  <c r="D57" i="10"/>
  <c r="D58" i="10"/>
  <c r="D59" i="10"/>
  <c r="D35" i="10"/>
  <c r="N25" i="10"/>
  <c r="N24" i="10"/>
  <c r="N23" i="10"/>
  <c r="N22" i="10"/>
  <c r="N20" i="10"/>
  <c r="N19" i="10"/>
  <c r="N18" i="10"/>
  <c r="N17" i="10"/>
  <c r="N16" i="10"/>
  <c r="N15" i="10"/>
  <c r="N14" i="10"/>
  <c r="N13" i="10"/>
  <c r="N12" i="10"/>
  <c r="N11" i="10"/>
  <c r="N9" i="10"/>
  <c r="N8" i="10"/>
  <c r="N7" i="10"/>
  <c r="N6" i="10"/>
  <c r="N26" i="10" l="1"/>
  <c r="O26" i="10" s="1"/>
  <c r="M18" i="11"/>
  <c r="G63" i="10" l="1"/>
  <c r="G53" i="10"/>
  <c r="G39" i="10"/>
  <c r="G35" i="10"/>
  <c r="G56" i="10"/>
  <c r="G50" i="10"/>
  <c r="G46" i="10"/>
  <c r="G41" i="10"/>
  <c r="G38" i="10"/>
  <c r="G59" i="10"/>
  <c r="G54" i="10"/>
  <c r="G49" i="10"/>
  <c r="G45" i="10"/>
  <c r="G40" i="10"/>
  <c r="G37" i="10"/>
  <c r="G58" i="10"/>
  <c r="G52" i="10"/>
  <c r="G48" i="10"/>
  <c r="G44" i="10"/>
  <c r="G36" i="10"/>
  <c r="G57" i="10"/>
  <c r="G51" i="10"/>
  <c r="G47" i="10"/>
  <c r="G43" i="10"/>
  <c r="G21" i="10"/>
  <c r="D4" i="10" l="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2" i="10"/>
  <c r="D23" i="10"/>
  <c r="D24" i="10"/>
  <c r="D25" i="10"/>
  <c r="G18" i="10"/>
  <c r="G19" i="10"/>
  <c r="G20" i="10"/>
  <c r="G25" i="10"/>
  <c r="H25" i="10" s="1"/>
  <c r="D36" i="12" l="1"/>
  <c r="D37" i="12"/>
  <c r="D38" i="12"/>
  <c r="D39" i="12"/>
  <c r="D40" i="12"/>
  <c r="D41" i="12"/>
  <c r="D43" i="12"/>
  <c r="D44" i="12"/>
  <c r="D45" i="12"/>
  <c r="D46" i="12"/>
  <c r="D47" i="12"/>
  <c r="D48" i="12"/>
  <c r="D49" i="12"/>
  <c r="D50" i="12"/>
  <c r="D51" i="12"/>
  <c r="D52" i="12"/>
  <c r="D54" i="12"/>
  <c r="D56" i="12"/>
  <c r="D57" i="12"/>
  <c r="D58" i="12"/>
  <c r="D59" i="12"/>
  <c r="D35" i="12"/>
  <c r="H57" i="12"/>
  <c r="H58" i="12"/>
  <c r="H59" i="12"/>
  <c r="H35" i="10"/>
  <c r="N18" i="11" l="1"/>
  <c r="G39" i="11" l="1"/>
  <c r="G43" i="11"/>
  <c r="G48" i="11"/>
  <c r="G55" i="11"/>
  <c r="G60" i="11"/>
  <c r="G47" i="11"/>
  <c r="G54" i="11"/>
  <c r="G40" i="11"/>
  <c r="G44" i="11"/>
  <c r="G49" i="11"/>
  <c r="G52" i="11"/>
  <c r="G57" i="11"/>
  <c r="G51" i="11"/>
  <c r="G41" i="11"/>
  <c r="G46" i="11"/>
  <c r="G50" i="11"/>
  <c r="G53" i="11"/>
  <c r="G58" i="11"/>
  <c r="G42" i="11"/>
  <c r="G59" i="11"/>
  <c r="H44" i="11"/>
  <c r="H41" i="10"/>
  <c r="H8" i="11"/>
  <c r="G8" i="10"/>
  <c r="H8" i="10" s="1"/>
  <c r="G22" i="11" l="1"/>
  <c r="H22" i="11" s="1"/>
  <c r="C22" i="11"/>
  <c r="D22" i="11"/>
  <c r="G30" i="12"/>
  <c r="G29" i="12"/>
  <c r="G28" i="12"/>
  <c r="G21" i="11"/>
  <c r="G20" i="11"/>
  <c r="G30" i="10"/>
  <c r="G29" i="10"/>
  <c r="G28" i="10"/>
  <c r="G32" i="12" l="1"/>
  <c r="G23" i="11"/>
  <c r="G24" i="11" s="1"/>
  <c r="D28" i="12"/>
  <c r="D29" i="12"/>
  <c r="D30" i="12"/>
  <c r="D31" i="12"/>
  <c r="D32" i="12"/>
  <c r="C29" i="12"/>
  <c r="C30" i="12"/>
  <c r="C31" i="12"/>
  <c r="C32" i="12"/>
  <c r="C28" i="12"/>
  <c r="H31" i="12"/>
  <c r="H30" i="12"/>
  <c r="H29" i="12"/>
  <c r="H28" i="12"/>
  <c r="D7" i="11"/>
  <c r="C7" i="11"/>
  <c r="D23" i="11"/>
  <c r="D21" i="11"/>
  <c r="D20" i="11"/>
  <c r="C21" i="11"/>
  <c r="C23" i="11"/>
  <c r="C20" i="11"/>
  <c r="D29" i="10"/>
  <c r="D30" i="10"/>
  <c r="D31" i="10"/>
  <c r="D32" i="10"/>
  <c r="D28" i="10"/>
  <c r="C29" i="10"/>
  <c r="C30" i="10"/>
  <c r="C31" i="10"/>
  <c r="C32" i="10"/>
  <c r="C28" i="10"/>
  <c r="H21" i="11"/>
  <c r="H20" i="11"/>
  <c r="H29" i="10"/>
  <c r="H30" i="10"/>
  <c r="H31" i="10"/>
  <c r="G7" i="10"/>
  <c r="H7" i="10" s="1"/>
  <c r="G7" i="11" l="1"/>
  <c r="H7" i="11" s="1"/>
  <c r="G32" i="10"/>
  <c r="H28" i="10"/>
  <c r="D3" i="11"/>
  <c r="C3" i="11"/>
  <c r="G3" i="11" s="1"/>
  <c r="H32" i="10" l="1"/>
  <c r="G33" i="10"/>
  <c r="H32" i="12"/>
  <c r="G33" i="12"/>
  <c r="H23" i="11"/>
  <c r="H24" i="11"/>
  <c r="H19" i="11" s="1"/>
  <c r="H33" i="12" l="1"/>
  <c r="H27" i="12" s="1"/>
  <c r="H33" i="10"/>
  <c r="H27" i="10" s="1"/>
  <c r="G32" i="11" l="1"/>
  <c r="G33" i="11" s="1"/>
  <c r="H19" i="12"/>
  <c r="H19" i="10"/>
  <c r="G60" i="10" l="1"/>
  <c r="G67" i="12"/>
  <c r="D16" i="11"/>
  <c r="C16" i="11"/>
  <c r="G16" i="11" l="1"/>
  <c r="H16" i="11" s="1"/>
  <c r="H9" i="11"/>
  <c r="H18" i="12" l="1"/>
  <c r="H18" i="10"/>
  <c r="C64" i="10" l="1"/>
  <c r="H77" i="12" l="1"/>
  <c r="H35" i="12" l="1"/>
  <c r="D3" i="12"/>
  <c r="C3" i="12"/>
  <c r="G3" i="12" s="1"/>
  <c r="G38" i="11"/>
  <c r="G62" i="11" s="1"/>
  <c r="C4" i="11" l="1"/>
  <c r="G4" i="11" s="1"/>
  <c r="D4" i="11"/>
  <c r="C5" i="11"/>
  <c r="G5" i="11" s="1"/>
  <c r="D5" i="11"/>
  <c r="C6" i="11"/>
  <c r="G6" i="11" s="1"/>
  <c r="D6" i="11"/>
  <c r="G18" i="11" l="1"/>
  <c r="G4" i="10"/>
  <c r="G9" i="10"/>
  <c r="G11" i="10"/>
  <c r="G12" i="10"/>
  <c r="G14" i="10"/>
  <c r="G15" i="10"/>
  <c r="G16" i="10"/>
  <c r="G22" i="10"/>
  <c r="G23" i="10"/>
  <c r="G24" i="10"/>
  <c r="C3" i="10"/>
  <c r="G3" i="10" s="1"/>
  <c r="G13" i="10" l="1"/>
  <c r="G17" i="10"/>
  <c r="H62" i="12"/>
  <c r="H36" i="12"/>
  <c r="H37" i="12"/>
  <c r="H38" i="12"/>
  <c r="H39" i="12"/>
  <c r="H40" i="12"/>
  <c r="H41" i="12"/>
  <c r="H43" i="12"/>
  <c r="H44" i="12"/>
  <c r="H45" i="12"/>
  <c r="H46" i="12"/>
  <c r="H47" i="12"/>
  <c r="H48" i="12"/>
  <c r="H49" i="12"/>
  <c r="H50" i="12"/>
  <c r="H51" i="12"/>
  <c r="H52" i="12"/>
  <c r="G26" i="10" l="1"/>
  <c r="H60" i="12"/>
  <c r="H34" i="12" s="1"/>
  <c r="H63" i="12"/>
  <c r="H61" i="12"/>
  <c r="H39" i="11"/>
  <c r="H40" i="11"/>
  <c r="H41" i="11"/>
  <c r="H42" i="11"/>
  <c r="H43" i="11"/>
  <c r="H46" i="11"/>
  <c r="H47" i="11"/>
  <c r="H48" i="11"/>
  <c r="H49" i="11"/>
  <c r="H50" i="11"/>
  <c r="H51" i="11"/>
  <c r="H52" i="11"/>
  <c r="H53" i="11"/>
  <c r="H54" i="11"/>
  <c r="H55" i="11"/>
  <c r="H57" i="11"/>
  <c r="H58" i="11"/>
  <c r="H59" i="11"/>
  <c r="H60" i="11"/>
  <c r="H38" i="11"/>
  <c r="H62" i="11" l="1"/>
  <c r="H37" i="11" s="1"/>
  <c r="H36" i="10"/>
  <c r="H37" i="10"/>
  <c r="H38" i="10"/>
  <c r="H39" i="10"/>
  <c r="H40" i="10"/>
  <c r="H43" i="10"/>
  <c r="H44" i="10"/>
  <c r="H45" i="10"/>
  <c r="H46" i="10"/>
  <c r="H47" i="10"/>
  <c r="H48" i="10"/>
  <c r="H49" i="10"/>
  <c r="H50" i="10"/>
  <c r="H51" i="10"/>
  <c r="H52" i="10"/>
  <c r="H54" i="10"/>
  <c r="H56" i="10"/>
  <c r="H57" i="10"/>
  <c r="H58" i="10"/>
  <c r="H59" i="10"/>
  <c r="H34" i="10" l="1"/>
  <c r="H60" i="10" s="1"/>
  <c r="G65" i="12" l="1"/>
  <c r="G70" i="12" s="1"/>
  <c r="H68" i="12" l="1"/>
  <c r="H67" i="12"/>
  <c r="G35" i="11"/>
  <c r="G69" i="10"/>
  <c r="H35" i="11" l="1"/>
  <c r="G36" i="11"/>
  <c r="G68" i="11" s="1"/>
  <c r="G72" i="10"/>
  <c r="H66" i="10" s="1"/>
  <c r="C66" i="11"/>
  <c r="H66" i="11" s="1"/>
  <c r="C65" i="11"/>
  <c r="H65" i="11" s="1"/>
  <c r="H64" i="10"/>
  <c r="H36" i="11" l="1"/>
  <c r="H34" i="11"/>
  <c r="C66" i="12"/>
  <c r="H66" i="12" s="1"/>
  <c r="H4" i="12"/>
  <c r="H5" i="12"/>
  <c r="H6" i="12"/>
  <c r="H9" i="12"/>
  <c r="H10" i="12"/>
  <c r="H11" i="12"/>
  <c r="H12" i="12"/>
  <c r="H13" i="12"/>
  <c r="H14" i="12"/>
  <c r="H15" i="12"/>
  <c r="H16" i="12"/>
  <c r="H17" i="12"/>
  <c r="H20" i="12"/>
  <c r="H21" i="12"/>
  <c r="H22" i="12"/>
  <c r="H23" i="12"/>
  <c r="H24" i="12"/>
  <c r="H3" i="12"/>
  <c r="G63" i="12"/>
  <c r="H28" i="11"/>
  <c r="C32" i="11"/>
  <c r="H65" i="12" l="1"/>
  <c r="G72" i="12"/>
  <c r="G74" i="12" s="1"/>
  <c r="H67" i="11"/>
  <c r="H64" i="11"/>
  <c r="H63" i="11"/>
  <c r="G26" i="12"/>
  <c r="G75" i="12" s="1"/>
  <c r="H76" i="12" l="1"/>
  <c r="H26" i="12"/>
  <c r="H2" i="12"/>
  <c r="H70" i="12"/>
  <c r="H64" i="12"/>
  <c r="G78" i="12" l="1"/>
  <c r="H74" i="12"/>
  <c r="H71" i="12"/>
  <c r="H72" i="12"/>
  <c r="H73" i="12" l="1"/>
  <c r="H75" i="12" l="1"/>
  <c r="C27" i="11"/>
  <c r="H27" i="11" s="1"/>
  <c r="H6" i="11"/>
  <c r="H5" i="11"/>
  <c r="H4" i="11"/>
  <c r="H3" i="11"/>
  <c r="C68" i="10"/>
  <c r="C63" i="10"/>
  <c r="G65" i="10" s="1"/>
  <c r="G73" i="10" s="1"/>
  <c r="G80" i="10" s="1"/>
  <c r="H26" i="11" l="1"/>
  <c r="H68" i="10"/>
  <c r="G79" i="12"/>
  <c r="H79" i="12" s="1"/>
  <c r="H78" i="12"/>
  <c r="H67" i="10"/>
  <c r="H31" i="11" l="1"/>
  <c r="H2" i="11"/>
  <c r="H30" i="11"/>
  <c r="H25" i="11"/>
  <c r="G80" i="12"/>
  <c r="H18" i="11"/>
  <c r="H70" i="10"/>
  <c r="H24" i="10"/>
  <c r="H23" i="10"/>
  <c r="H22" i="10"/>
  <c r="H21" i="10"/>
  <c r="H20" i="10"/>
  <c r="H17" i="10"/>
  <c r="H16" i="10"/>
  <c r="H15" i="10"/>
  <c r="H14" i="10"/>
  <c r="H13" i="10"/>
  <c r="H12" i="10"/>
  <c r="H11" i="10"/>
  <c r="H10" i="10"/>
  <c r="H9" i="10"/>
  <c r="H6" i="10"/>
  <c r="H5" i="10"/>
  <c r="H4" i="10"/>
  <c r="G85" i="12" l="1"/>
  <c r="H85" i="12" s="1"/>
  <c r="H80" i="12"/>
  <c r="H72" i="10"/>
  <c r="H32" i="11"/>
  <c r="H3" i="10"/>
  <c r="H69" i="10"/>
  <c r="G81" i="10" l="1"/>
  <c r="H2" i="10"/>
  <c r="G86" i="12"/>
  <c r="H86" i="12" s="1"/>
  <c r="H26" i="10"/>
  <c r="H33" i="11" l="1"/>
  <c r="H68" i="11" l="1"/>
  <c r="H69" i="11" l="1"/>
  <c r="G70" i="11"/>
  <c r="G75" i="11" s="1"/>
  <c r="H75" i="11" l="1"/>
  <c r="H70" i="11"/>
  <c r="G76" i="11" l="1"/>
  <c r="H76" i="11" s="1"/>
  <c r="H63" i="10" l="1"/>
  <c r="H62" i="10" l="1"/>
  <c r="H61" i="10"/>
  <c r="H65" i="10"/>
  <c r="H73" i="10" l="1"/>
  <c r="H75" i="10" l="1"/>
  <c r="H80" i="10"/>
  <c r="H74" i="10"/>
  <c r="H81" i="10" l="1"/>
</calcChain>
</file>

<file path=xl/comments1.xml><?xml version="1.0" encoding="utf-8"?>
<comments xmlns="http://schemas.openxmlformats.org/spreadsheetml/2006/main">
  <authors>
    <author>Sabina Jurek</author>
  </authors>
  <commentLis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>Sabina Jurek: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  <r>
          <rPr>
            <b/>
            <sz val="9"/>
            <color indexed="81"/>
            <rFont val="Tahoma"/>
            <family val="2"/>
            <charset val="238"/>
          </rPr>
          <t>USTALENIE  ZAMAWIANYCH POZYCJI</t>
        </r>
        <r>
          <rPr>
            <sz val="9"/>
            <color indexed="81"/>
            <rFont val="Tahoma"/>
            <family val="2"/>
            <charset val="238"/>
          </rPr>
          <t xml:space="preserve">
Proszę kliknąć w filtr w tym polu
a następnie:
1. Wybrać opcję: Zaznacz wszystko
2. </t>
        </r>
        <r>
          <rPr>
            <b/>
            <sz val="9"/>
            <color indexed="81"/>
            <rFont val="Tahoma"/>
            <family val="2"/>
            <charset val="238"/>
          </rPr>
          <t xml:space="preserve">Ustawiamy odpowiednie wartości </t>
        </r>
        <r>
          <rPr>
            <b/>
            <sz val="9"/>
            <color indexed="10"/>
            <rFont val="Tahoma"/>
            <family val="2"/>
            <charset val="238"/>
          </rPr>
          <t>tylko na konfigurowalnych (żółtych) polach</t>
        </r>
        <r>
          <rPr>
            <sz val="9"/>
            <color indexed="81"/>
            <rFont val="Tahoma"/>
            <family val="2"/>
            <charset val="238"/>
          </rPr>
          <t xml:space="preserve">
3. Po ustawieniu konkretnych wartości klikamy ponownie w filtr i wybieramy opcję 1 (tylko)
4. W efekcie otrzymujemy zwartą tabelkę do wklejenia do oferty dla klienta</t>
        </r>
      </text>
    </comment>
  </commentList>
</comments>
</file>

<file path=xl/sharedStrings.xml><?xml version="1.0" encoding="utf-8"?>
<sst xmlns="http://schemas.openxmlformats.org/spreadsheetml/2006/main" count="940" uniqueCount="201">
  <si>
    <t>Wersja</t>
  </si>
  <si>
    <t>srebro</t>
  </si>
  <si>
    <t>TAK</t>
  </si>
  <si>
    <t>złoto</t>
  </si>
  <si>
    <t>NIE</t>
  </si>
  <si>
    <t>platyna</t>
  </si>
  <si>
    <t>SREBRO</t>
  </si>
  <si>
    <t>ZŁOTO</t>
  </si>
  <si>
    <t>PLATYNA</t>
  </si>
  <si>
    <t>Moduły  dodatkowe</t>
  </si>
  <si>
    <t>5…15 tabela -&gt; za 1 szt.</t>
  </si>
  <si>
    <t>1…5 tabela -&gt; za 1 szt.</t>
  </si>
  <si>
    <t>Moduł</t>
  </si>
  <si>
    <t>Rodzaj</t>
  </si>
  <si>
    <t>Wartość [netto]</t>
  </si>
  <si>
    <t>SUMA MODUŁY PODSTAWOWE</t>
  </si>
  <si>
    <t>SUMA MODUŁY DODATKOWE</t>
  </si>
  <si>
    <t>SUMA MODUŁY ZEWNĘTRZNE</t>
  </si>
  <si>
    <t xml:space="preserve">Promocje </t>
  </si>
  <si>
    <t>Wartość  upustu dla Klienta netto</t>
  </si>
  <si>
    <t>Wartość  dla Klienta netto</t>
  </si>
  <si>
    <t>Wartość  dla Klienta brutto (z VAT 23%)</t>
  </si>
  <si>
    <t xml:space="preserve">1...5 tabela </t>
  </si>
  <si>
    <t>6...15 tabela</t>
  </si>
  <si>
    <t>ilość</t>
  </si>
  <si>
    <t>Kliknij w filtr</t>
  </si>
  <si>
    <t>cena za 1 szt.</t>
  </si>
  <si>
    <t>WERSJA DLA BIUR RACHUNKOWYCH</t>
  </si>
  <si>
    <t>SUMA MODUŁY Wielofirmowe</t>
  </si>
  <si>
    <t xml:space="preserve"> </t>
  </si>
  <si>
    <t>enova365 Pulpit Kierownika</t>
  </si>
  <si>
    <t>Liczba baz</t>
  </si>
  <si>
    <t xml:space="preserve">SUMA enova365 Pulpit </t>
  </si>
  <si>
    <t>dopłata za kolejna bazę</t>
  </si>
  <si>
    <t>Ilość/zakres</t>
  </si>
  <si>
    <t>Ilość/Zakres</t>
  </si>
  <si>
    <t>TABELE DODATKOWE - ZŁOTO do maks. 15 tabel</t>
  </si>
  <si>
    <t>enova365 Pulpity</t>
  </si>
  <si>
    <t>SUMA enova365 Pulpity</t>
  </si>
  <si>
    <t>0,00*</t>
  </si>
  <si>
    <t>Ilość</t>
  </si>
  <si>
    <t>SUMA MODUŁY Dodatkowe</t>
  </si>
  <si>
    <t>SUMA TABELE Dodatkowe</t>
  </si>
  <si>
    <t>platyna wielofirmowa</t>
  </si>
  <si>
    <t>standard</t>
  </si>
  <si>
    <t>multi</t>
  </si>
  <si>
    <t>Moduły  podstawowe</t>
  </si>
  <si>
    <t>enova365 Jednostki Budżetowe</t>
  </si>
  <si>
    <t>enova365 Elektroniczne Wyciągi Bankowe</t>
  </si>
  <si>
    <t>enova365 Wirtualne Rachunki Bankowe</t>
  </si>
  <si>
    <t>enova365 Importy Księgowe</t>
  </si>
  <si>
    <t>enova365 Eksporty Księgowe</t>
  </si>
  <si>
    <t>enova365 Pracownicy Uczelni</t>
  </si>
  <si>
    <t>enova365 Pracownicy Koszty Projektów</t>
  </si>
  <si>
    <t>enova365 Platforma Managera</t>
  </si>
  <si>
    <r>
      <t>enova365 Zarządzanie Odzieżą Roboczą (wyposażenie pracownika)</t>
    </r>
    <r>
      <rPr>
        <sz val="8"/>
        <color rgb="FF404040"/>
        <rFont val="Arial"/>
        <family val="2"/>
        <charset val="238"/>
      </rPr>
      <t> </t>
    </r>
  </si>
  <si>
    <t>enova365 SMS</t>
  </si>
  <si>
    <t>enova365 CRM Outlook</t>
  </si>
  <si>
    <t>enova365 EDI</t>
  </si>
  <si>
    <t>enova365 eFaktura GreenMail24</t>
  </si>
  <si>
    <t>enova365 Harmonogram Zadań</t>
  </si>
  <si>
    <t>Kolor</t>
  </si>
  <si>
    <t>enova365 Pulpit Pracownika</t>
  </si>
  <si>
    <t>Opcja</t>
  </si>
  <si>
    <t>Tabele 1-5</t>
  </si>
  <si>
    <t>Tabele 6-15</t>
  </si>
  <si>
    <t>PLATYNA WIELOFIRMOWA</t>
  </si>
  <si>
    <t>Tabele dodatkowe</t>
  </si>
  <si>
    <t>Ilość baz Wielofirmowa</t>
  </si>
  <si>
    <t>SUMA enova365 - instalacja podstawowa (5 baz)</t>
  </si>
  <si>
    <t>Dopłata za dodatkowe bazy w instalacji wielofirmowej</t>
  </si>
  <si>
    <t>x</t>
  </si>
  <si>
    <t>WERSJA  1-BAZOWA</t>
  </si>
  <si>
    <t>RAZEM enova365</t>
  </si>
  <si>
    <t>GRATIS</t>
  </si>
  <si>
    <t>enova365 e-mail</t>
  </si>
  <si>
    <t>enova365 Pulpit Kontrahenta</t>
  </si>
  <si>
    <t>enova365 Workflow w Pulpitach</t>
  </si>
  <si>
    <t>enova365 Pulpit Klienta Biura Rachunkowego</t>
  </si>
  <si>
    <t>Suma enova365 Pulpit Klienta Biura Rachunkowego</t>
  </si>
  <si>
    <t>SUMA enova365 Pulpity plus kolejne bazy</t>
  </si>
  <si>
    <t>- łączna ilość baz obsługiwana w instalacji</t>
  </si>
  <si>
    <t>SUMA enova365 Pulpity z bazami</t>
  </si>
  <si>
    <t>Dopłata za użytkowanie enova365 Pulpity w dodatkowych bazach</t>
  </si>
  <si>
    <t>Zakres baz</t>
  </si>
  <si>
    <t>Cena*</t>
  </si>
  <si>
    <t>Kalkulator jest materiałem pomocniczym przy szacowaniu zamówienia,</t>
  </si>
  <si>
    <t>Partner jest odpowiedzialny za przedstawioną Klientowi Ofertę</t>
  </si>
  <si>
    <t>i powinien każdorazowo sprawdzić zgodność cen z aktualnym cennikiem.</t>
  </si>
  <si>
    <t>Cena stanowiska                 [netto zł]</t>
  </si>
  <si>
    <t>Cena stanowiska multi [netto zł]</t>
  </si>
  <si>
    <t>W tym multi</t>
  </si>
  <si>
    <t>enova365 Analizy MS Excel</t>
  </si>
  <si>
    <t>enova365 BI obszar Księgowość</t>
  </si>
  <si>
    <t>enova365 BI obszar Kadry i Płace</t>
  </si>
  <si>
    <t>enova365 BI obszar Handel</t>
  </si>
  <si>
    <t>enova365 BI obszar CRM</t>
  </si>
  <si>
    <t>enova365 BI FIRMA</t>
  </si>
  <si>
    <t>BI</t>
  </si>
  <si>
    <t>SUMA BI</t>
  </si>
  <si>
    <t>jednobazowa</t>
  </si>
  <si>
    <t>BR i WF</t>
  </si>
  <si>
    <t>enova365 Windykacja BR</t>
  </si>
  <si>
    <t>enova365 Integrator</t>
  </si>
  <si>
    <t>enova365 Edycja kalendarza w Pulpicie Pracownika</t>
  </si>
  <si>
    <t>enova365 Zarządzanie Odzieżą Roboczą (wyposażenie pracownika) </t>
  </si>
  <si>
    <t xml:space="preserve">enova365 Pracownicy Eksportowi </t>
  </si>
  <si>
    <t>enova365 Pracownicy Prokuratury</t>
  </si>
  <si>
    <t>enova365 Rozrachunki Funduszy Pożyczkowych</t>
  </si>
  <si>
    <t>enova365 Czas Pracy</t>
  </si>
  <si>
    <t>enova365 Drukarki etykiet Zebra</t>
  </si>
  <si>
    <t>Wartość dla Klienta netto</t>
  </si>
  <si>
    <t>Wartość dla Klienta brutto (z VAT 23%)</t>
  </si>
  <si>
    <t>enova365 Faktury BR</t>
  </si>
  <si>
    <t>enova365 Pulpit Pracownika dla Biura Rachunkowego</t>
  </si>
  <si>
    <t>enova365 Kadry Płace</t>
  </si>
  <si>
    <t>enova365 Księga Podatkowa</t>
  </si>
  <si>
    <t>enova365 Księga Handlowa</t>
  </si>
  <si>
    <t>enova365 Księga Inwentarzowa</t>
  </si>
  <si>
    <t>enova365 Ewidencja Środków Pieniężnych dodatkowe stanowisko</t>
  </si>
  <si>
    <t>enova365 Faktury</t>
  </si>
  <si>
    <t>enova365 Handel</t>
  </si>
  <si>
    <t>enova365 Przedstawiciel Handlowy</t>
  </si>
  <si>
    <t>enova365 Produkcja</t>
  </si>
  <si>
    <t>enova365 CRM</t>
  </si>
  <si>
    <t>enova365 Serwis</t>
  </si>
  <si>
    <t>enova365 Szkolenia</t>
  </si>
  <si>
    <t>enova365 Wypożyczalnia</t>
  </si>
  <si>
    <t>enova365 Członkowie</t>
  </si>
  <si>
    <t>enova365 Projekty</t>
  </si>
  <si>
    <t>enova365 Workflow</t>
  </si>
  <si>
    <t>enova365 DMS</t>
  </si>
  <si>
    <t>enova365 Konfigurator Workflow i DMS</t>
  </si>
  <si>
    <t>enova365 Podgląd</t>
  </si>
  <si>
    <t>enova365 Preliminarz EŚP</t>
  </si>
  <si>
    <t>enova365 Delegacje Służbowe</t>
  </si>
  <si>
    <t>enova365 Opis Analityczny Aktywacja</t>
  </si>
  <si>
    <t>enova365 Kadry Płace BR</t>
  </si>
  <si>
    <t>enova365 Księga Podatkowa BR</t>
  </si>
  <si>
    <t>enova365 Księga Handlowa BR</t>
  </si>
  <si>
    <t>enova365 Księga Inwentarzowa BR</t>
  </si>
  <si>
    <t>enova365 Workflow BR</t>
  </si>
  <si>
    <t>enova365 DMS BR</t>
  </si>
  <si>
    <t>enova365 Konfigurator Workflow i DMS BR</t>
  </si>
  <si>
    <t>enova365 Preliminarz EŚP BR</t>
  </si>
  <si>
    <t>enova365 Delegacje Służbowe BR</t>
  </si>
  <si>
    <t>ABBYY FlexiCapture for Invoices</t>
  </si>
  <si>
    <t>enova365 Integracja OCR</t>
  </si>
  <si>
    <t>roczna</t>
  </si>
  <si>
    <t>indywidualna wycena</t>
  </si>
  <si>
    <t>-</t>
  </si>
  <si>
    <t>ABBYY OCR AKTUALIZACJA</t>
  </si>
  <si>
    <t>na własność</t>
  </si>
  <si>
    <t>SUMA enova365 OCR</t>
  </si>
  <si>
    <t>5 000 stron rocznie</t>
  </si>
  <si>
    <t>20 000 stron rocznie</t>
  </si>
  <si>
    <t>40 000 stron rocznie</t>
  </si>
  <si>
    <t>60 000 stron rocznie</t>
  </si>
  <si>
    <t>powyżej 60 000 stron rocznie</t>
  </si>
  <si>
    <t>NA WŁASNOŚĆ 
1 stacja weryfikacji</t>
  </si>
  <si>
    <t>ROCZNA 
1 stacja weryfikacji</t>
  </si>
  <si>
    <t>NA WŁASNOŚĆ 
3 stacje weryfikacji</t>
  </si>
  <si>
    <t>ROCZNA 
3 stacje weryfikacji</t>
  </si>
  <si>
    <t>enova365 Integracja z ABBYY OCR</t>
  </si>
  <si>
    <t>i powinien każdorazowo sprawdzić zgodność cen z aktualnym cennikiem oraz skonsultować wąpliwości z Opiekunem Handlowym w Soneta.</t>
  </si>
  <si>
    <t>enova365 Integracja OCR AKTUALIZACJA</t>
  </si>
  <si>
    <t>enova365 BI obszar Kadry Płace</t>
  </si>
  <si>
    <t>enova365 e-Sklepy Konektor</t>
  </si>
  <si>
    <t>Liczba równoczesnych użytkowników</t>
  </si>
  <si>
    <t>enova365 Windykacja</t>
  </si>
  <si>
    <t>moduły, które działają samodzielnie,
każdy z nich zawiera w sobie dostęp do:
- Ewidencji Środków Pieniężnych
- Ewidencji Dokumentów
- lista Kontrahenci i Urzędy</t>
  </si>
  <si>
    <t>BI (licencja na serwer)</t>
  </si>
  <si>
    <t>MODUŁY DODATKOWE (licencja na serwer)
w licencji platynowej bezpłatne 
- wszystkie moduły podstawowe muszą być platynowe</t>
  </si>
  <si>
    <t>MODUŁY PODSTAWOWE (licencja jednoczesnego dostępu - concurent user)</t>
  </si>
  <si>
    <t>Pulpity (licencja na nazwanego użytkownika)</t>
  </si>
  <si>
    <t>Liczba użytkowników</t>
  </si>
  <si>
    <t>Integracja z ABBYY OCR</t>
  </si>
  <si>
    <t>MODUŁY DODATKOWE
dowolne moduły dodatkowe w cenie</t>
  </si>
  <si>
    <t>TABELE DODATKOWE
nielimitowana liczba tabel dodtakowych w cenie</t>
  </si>
  <si>
    <t>liczba dodatkowych baz - poza pierwszą</t>
  </si>
  <si>
    <t>Licencję należy odnowić po roku od dnia jej zakupu
(ma inny termin gwarancji niż licencja enova365)</t>
  </si>
  <si>
    <t>Pulpit Klienta Biura Rachunkowego</t>
  </si>
  <si>
    <t>Pulpity dopłata za korzystanie w kolejnej bazie</t>
  </si>
  <si>
    <t>Dopłata za użytkowanie Pulpitów 
w kolejnej bazie</t>
  </si>
  <si>
    <t>enova365 Praca na Wielu Bazach (zawiera Platformę Managera)</t>
  </si>
  <si>
    <t>SUMA enova365 - instalacja podstawowa (20 baz)</t>
  </si>
  <si>
    <t>do 50 kont</t>
  </si>
  <si>
    <t>do 100 kont</t>
  </si>
  <si>
    <t>do 200 kont</t>
  </si>
  <si>
    <t>do 500 kont</t>
  </si>
  <si>
    <t>do 1000 kont</t>
  </si>
  <si>
    <t>powyżej 1000 kont</t>
  </si>
  <si>
    <t>do 50 baz</t>
  </si>
  <si>
    <t>do 200 baz</t>
  </si>
  <si>
    <t>do 500 baz</t>
  </si>
  <si>
    <t>powyżej 500 baz</t>
  </si>
  <si>
    <t>enova365 CRM BR</t>
  </si>
  <si>
    <t>enova365 Projekty BR</t>
  </si>
  <si>
    <t>enova365 Podgląd BR</t>
  </si>
  <si>
    <t>enova365 Eksporty Dekretów List Płac</t>
  </si>
  <si>
    <t>enova365 Kurierzy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</si>
</sst>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zł&quot;* #,##0.00_);_(&quot;zł&quot;* \(#,##0.00\);_(&quot;zł&quot;* &quot;-&quot;??_);_(@_)"/>
    <numFmt numFmtId="166" formatCode="#,##0.00\ &quot;zł&quot;"/>
    <numFmt numFmtId="167" formatCode="_-* #,##0.0000\ _z_ł_-;\-* #,##0.0000\ _z_ł_-;_-* &quot;-&quot;??\ _z_ł_-;_-@_-"/>
    <numFmt numFmtId="168" formatCode="_(* #,##0_);_(* \(#,##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40404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1"/>
      <color theme="0"/>
      <name val="Calibri Light"/>
      <family val="2"/>
      <charset val="238"/>
    </font>
    <font>
      <sz val="12"/>
      <name val="Calibri Light"/>
      <family val="2"/>
      <charset val="238"/>
    </font>
    <font>
      <b/>
      <sz val="13"/>
      <color theme="1"/>
      <name val="Calibri Light"/>
      <family val="2"/>
      <charset val="238"/>
    </font>
    <font>
      <sz val="13"/>
      <color theme="1"/>
      <name val="Calibri Light"/>
      <family val="2"/>
      <charset val="238"/>
    </font>
    <font>
      <b/>
      <sz val="13"/>
      <color rgb="FFFF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6" tint="-0.249977111117893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F8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1" fillId="4" borderId="1" xfId="0" applyFont="1" applyFill="1" applyBorder="1"/>
    <xf numFmtId="0" fontId="0" fillId="4" borderId="2" xfId="0" applyFill="1" applyBorder="1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Fill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0" xfId="0" applyNumberFormat="1" applyBorder="1"/>
    <xf numFmtId="0" fontId="1" fillId="4" borderId="26" xfId="0" applyFont="1" applyFill="1" applyBorder="1"/>
    <xf numFmtId="0" fontId="1" fillId="6" borderId="0" xfId="0" applyFont="1" applyFill="1"/>
    <xf numFmtId="0" fontId="1" fillId="4" borderId="2" xfId="0" applyFont="1" applyFill="1" applyBorder="1"/>
    <xf numFmtId="9" fontId="0" fillId="0" borderId="7" xfId="3" applyFont="1" applyBorder="1"/>
    <xf numFmtId="0" fontId="1" fillId="10" borderId="0" xfId="0" applyFont="1" applyFill="1"/>
    <xf numFmtId="3" fontId="0" fillId="0" borderId="3" xfId="0" applyNumberFormat="1" applyBorder="1"/>
    <xf numFmtId="0" fontId="1" fillId="10" borderId="0" xfId="0" applyFont="1" applyFill="1" applyBorder="1"/>
    <xf numFmtId="3" fontId="0" fillId="0" borderId="3" xfId="0" applyNumberFormat="1" applyBorder="1" applyAlignment="1">
      <alignment horizontal="center"/>
    </xf>
    <xf numFmtId="0" fontId="6" fillId="13" borderId="1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166" fontId="6" fillId="13" borderId="15" xfId="0" applyNumberFormat="1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/>
    </xf>
    <xf numFmtId="166" fontId="8" fillId="13" borderId="12" xfId="0" applyNumberFormat="1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/>
    </xf>
    <xf numFmtId="0" fontId="9" fillId="0" borderId="0" xfId="0" applyFont="1"/>
    <xf numFmtId="0" fontId="10" fillId="14" borderId="21" xfId="0" applyFont="1" applyFill="1" applyBorder="1" applyAlignment="1">
      <alignment horizontal="center"/>
    </xf>
    <xf numFmtId="4" fontId="10" fillId="8" borderId="8" xfId="0" applyNumberFormat="1" applyFont="1" applyFill="1" applyBorder="1"/>
    <xf numFmtId="0" fontId="10" fillId="14" borderId="8" xfId="0" applyFont="1" applyFill="1" applyBorder="1" applyAlignment="1">
      <alignment horizontal="center"/>
    </xf>
    <xf numFmtId="4" fontId="10" fillId="8" borderId="10" xfId="0" applyNumberFormat="1" applyFont="1" applyFill="1" applyBorder="1"/>
    <xf numFmtId="4" fontId="10" fillId="8" borderId="8" xfId="0" applyNumberFormat="1" applyFont="1" applyFill="1" applyBorder="1" applyAlignment="1">
      <alignment horizontal="right"/>
    </xf>
    <xf numFmtId="4" fontId="10" fillId="8" borderId="8" xfId="0" applyNumberFormat="1" applyFont="1" applyFill="1" applyBorder="1" applyAlignment="1">
      <alignment horizontal="center"/>
    </xf>
    <xf numFmtId="4" fontId="7" fillId="15" borderId="10" xfId="0" applyNumberFormat="1" applyFont="1" applyFill="1" applyBorder="1"/>
    <xf numFmtId="0" fontId="10" fillId="13" borderId="8" xfId="0" applyFont="1" applyFill="1" applyBorder="1"/>
    <xf numFmtId="4" fontId="10" fillId="13" borderId="10" xfId="0" applyNumberFormat="1" applyFont="1" applyFill="1" applyBorder="1"/>
    <xf numFmtId="0" fontId="10" fillId="14" borderId="22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8" xfId="0" applyFont="1" applyFill="1" applyBorder="1"/>
    <xf numFmtId="4" fontId="7" fillId="15" borderId="8" xfId="0" applyNumberFormat="1" applyFont="1" applyFill="1" applyBorder="1"/>
    <xf numFmtId="0" fontId="7" fillId="15" borderId="8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4" fontId="10" fillId="13" borderId="8" xfId="0" applyNumberFormat="1" applyFont="1" applyFill="1" applyBorder="1"/>
    <xf numFmtId="0" fontId="10" fillId="13" borderId="22" xfId="0" applyFont="1" applyFill="1" applyBorder="1"/>
    <xf numFmtId="0" fontId="10" fillId="8" borderId="9" xfId="0" applyFont="1" applyFill="1" applyBorder="1" applyAlignment="1">
      <alignment horizontal="center" vertical="center"/>
    </xf>
    <xf numFmtId="0" fontId="10" fillId="8" borderId="8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9" xfId="0" applyFont="1" applyFill="1" applyBorder="1"/>
    <xf numFmtId="0" fontId="7" fillId="2" borderId="8" xfId="0" applyFont="1" applyFill="1" applyBorder="1"/>
    <xf numFmtId="4" fontId="7" fillId="2" borderId="8" xfId="0" applyNumberFormat="1" applyFont="1" applyFill="1" applyBorder="1"/>
    <xf numFmtId="0" fontId="7" fillId="2" borderId="22" xfId="0" applyFont="1" applyFill="1" applyBorder="1"/>
    <xf numFmtId="4" fontId="7" fillId="2" borderId="10" xfId="0" applyNumberFormat="1" applyFont="1" applyFill="1" applyBorder="1"/>
    <xf numFmtId="0" fontId="7" fillId="2" borderId="9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7" xfId="0" applyFont="1" applyFill="1" applyBorder="1"/>
    <xf numFmtId="0" fontId="7" fillId="7" borderId="30" xfId="0" applyFont="1" applyFill="1" applyBorder="1"/>
    <xf numFmtId="4" fontId="7" fillId="7" borderId="18" xfId="0" applyNumberFormat="1" applyFont="1" applyFill="1" applyBorder="1"/>
    <xf numFmtId="0" fontId="10" fillId="7" borderId="23" xfId="0" applyFont="1" applyFill="1" applyBorder="1"/>
    <xf numFmtId="0" fontId="10" fillId="7" borderId="25" xfId="0" applyFont="1" applyFill="1" applyBorder="1"/>
    <xf numFmtId="0" fontId="9" fillId="0" borderId="0" xfId="0" applyFont="1" applyFill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7" xfId="0" applyFont="1" applyBorder="1"/>
    <xf numFmtId="2" fontId="7" fillId="2" borderId="8" xfId="0" applyNumberFormat="1" applyFont="1" applyFill="1" applyBorder="1" applyAlignment="1"/>
    <xf numFmtId="2" fontId="7" fillId="2" borderId="22" xfId="0" applyNumberFormat="1" applyFont="1" applyFill="1" applyBorder="1" applyAlignment="1"/>
    <xf numFmtId="4" fontId="7" fillId="2" borderId="10" xfId="0" applyNumberFormat="1" applyFont="1" applyFill="1" applyBorder="1" applyAlignment="1"/>
    <xf numFmtId="0" fontId="10" fillId="8" borderId="9" xfId="0" applyFont="1" applyFill="1" applyBorder="1" applyAlignment="1">
      <alignment horizontal="center" wrapText="1"/>
    </xf>
    <xf numFmtId="9" fontId="10" fillId="8" borderId="8" xfId="0" applyNumberFormat="1" applyFont="1" applyFill="1" applyBorder="1" applyAlignment="1">
      <alignment vertical="center"/>
    </xf>
    <xf numFmtId="4" fontId="10" fillId="8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" fontId="7" fillId="8" borderId="1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9" fillId="0" borderId="0" xfId="0" applyFont="1" applyBorder="1"/>
    <xf numFmtId="0" fontId="9" fillId="0" borderId="6" xfId="0" applyFont="1" applyBorder="1"/>
    <xf numFmtId="0" fontId="6" fillId="13" borderId="20" xfId="0" applyFont="1" applyFill="1" applyBorder="1" applyAlignment="1">
      <alignment vertical="center"/>
    </xf>
    <xf numFmtId="0" fontId="6" fillId="13" borderId="36" xfId="0" applyFont="1" applyFill="1" applyBorder="1" applyAlignment="1">
      <alignment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8" fillId="13" borderId="8" xfId="0" applyFont="1" applyFill="1" applyBorder="1"/>
    <xf numFmtId="0" fontId="13" fillId="13" borderId="10" xfId="0" applyFont="1" applyFill="1" applyBorder="1"/>
    <xf numFmtId="4" fontId="8" fillId="13" borderId="8" xfId="0" applyNumberFormat="1" applyFont="1" applyFill="1" applyBorder="1"/>
    <xf numFmtId="4" fontId="8" fillId="13" borderId="10" xfId="0" applyNumberFormat="1" applyFont="1" applyFill="1" applyBorder="1"/>
    <xf numFmtId="0" fontId="8" fillId="13" borderId="8" xfId="0" applyFont="1" applyFill="1" applyBorder="1" applyAlignment="1">
      <alignment horizontal="center"/>
    </xf>
    <xf numFmtId="4" fontId="8" fillId="13" borderId="22" xfId="0" applyNumberFormat="1" applyFont="1" applyFill="1" applyBorder="1"/>
    <xf numFmtId="0" fontId="8" fillId="13" borderId="22" xfId="0" applyFont="1" applyFill="1" applyBorder="1"/>
    <xf numFmtId="0" fontId="7" fillId="16" borderId="14" xfId="0" applyFont="1" applyFill="1" applyBorder="1"/>
    <xf numFmtId="0" fontId="11" fillId="16" borderId="14" xfId="0" applyFont="1" applyFill="1" applyBorder="1"/>
    <xf numFmtId="0" fontId="11" fillId="16" borderId="15" xfId="0" applyFont="1" applyFill="1" applyBorder="1"/>
    <xf numFmtId="0" fontId="11" fillId="16" borderId="24" xfId="0" applyFont="1" applyFill="1" applyBorder="1"/>
    <xf numFmtId="4" fontId="11" fillId="16" borderId="16" xfId="0" applyNumberFormat="1" applyFont="1" applyFill="1" applyBorder="1"/>
    <xf numFmtId="0" fontId="14" fillId="16" borderId="15" xfId="0" applyFont="1" applyFill="1" applyBorder="1"/>
    <xf numFmtId="0" fontId="14" fillId="16" borderId="24" xfId="0" applyFont="1" applyFill="1" applyBorder="1"/>
    <xf numFmtId="0" fontId="10" fillId="14" borderId="22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4" fontId="10" fillId="8" borderId="9" xfId="0" applyNumberFormat="1" applyFont="1" applyFill="1" applyBorder="1"/>
    <xf numFmtId="0" fontId="10" fillId="2" borderId="8" xfId="0" applyFont="1" applyFill="1" applyBorder="1" applyAlignment="1">
      <alignment horizontal="center"/>
    </xf>
    <xf numFmtId="4" fontId="10" fillId="2" borderId="8" xfId="0" applyNumberFormat="1" applyFont="1" applyFill="1" applyBorder="1"/>
    <xf numFmtId="0" fontId="10" fillId="2" borderId="22" xfId="0" applyFont="1" applyFill="1" applyBorder="1" applyAlignment="1">
      <alignment horizontal="center"/>
    </xf>
    <xf numFmtId="2" fontId="15" fillId="11" borderId="30" xfId="0" applyNumberFormat="1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 vertical="center" wrapText="1"/>
    </xf>
    <xf numFmtId="49" fontId="15" fillId="11" borderId="32" xfId="0" applyNumberFormat="1" applyFont="1" applyFill="1" applyBorder="1" applyAlignment="1">
      <alignment horizontal="left" vertical="center"/>
    </xf>
    <xf numFmtId="0" fontId="7" fillId="11" borderId="30" xfId="0" applyFont="1" applyFill="1" applyBorder="1" applyAlignment="1">
      <alignment horizontal="center"/>
    </xf>
    <xf numFmtId="0" fontId="15" fillId="11" borderId="30" xfId="0" applyFont="1" applyFill="1" applyBorder="1" applyAlignment="1">
      <alignment horizontal="center"/>
    </xf>
    <xf numFmtId="0" fontId="15" fillId="11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/>
    </xf>
    <xf numFmtId="0" fontId="15" fillId="7" borderId="17" xfId="0" applyFont="1" applyFill="1" applyBorder="1"/>
    <xf numFmtId="0" fontId="15" fillId="7" borderId="30" xfId="0" applyFont="1" applyFill="1" applyBorder="1"/>
    <xf numFmtId="4" fontId="15" fillId="7" borderId="18" xfId="0" applyNumberFormat="1" applyFont="1" applyFill="1" applyBorder="1"/>
    <xf numFmtId="0" fontId="16" fillId="7" borderId="23" xfId="0" applyFont="1" applyFill="1" applyBorder="1"/>
    <xf numFmtId="0" fontId="16" fillId="7" borderId="25" xfId="0" applyFont="1" applyFill="1" applyBorder="1"/>
    <xf numFmtId="0" fontId="16" fillId="16" borderId="15" xfId="0" applyFont="1" applyFill="1" applyBorder="1"/>
    <xf numFmtId="0" fontId="16" fillId="16" borderId="24" xfId="0" applyFont="1" applyFill="1" applyBorder="1"/>
    <xf numFmtId="4" fontId="15" fillId="16" borderId="16" xfId="0" applyNumberFormat="1" applyFont="1" applyFill="1" applyBorder="1"/>
    <xf numFmtId="0" fontId="6" fillId="13" borderId="24" xfId="0" applyFont="1" applyFill="1" applyBorder="1" applyAlignment="1">
      <alignment horizontal="center" vertical="center"/>
    </xf>
    <xf numFmtId="4" fontId="6" fillId="13" borderId="8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/>
    <xf numFmtId="3" fontId="10" fillId="14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7" fillId="11" borderId="37" xfId="0" applyFont="1" applyFill="1" applyBorder="1" applyAlignment="1">
      <alignment horizontal="left" vertical="center"/>
    </xf>
    <xf numFmtId="0" fontId="15" fillId="11" borderId="30" xfId="0" applyFont="1" applyFill="1" applyBorder="1" applyAlignment="1">
      <alignment horizontal="left"/>
    </xf>
    <xf numFmtId="0" fontId="15" fillId="11" borderId="31" xfId="0" applyFont="1" applyFill="1" applyBorder="1" applyAlignment="1">
      <alignment horizontal="left"/>
    </xf>
    <xf numFmtId="0" fontId="15" fillId="11" borderId="32" xfId="0" applyFont="1" applyFill="1" applyBorder="1" applyAlignment="1">
      <alignment horizontal="left"/>
    </xf>
    <xf numFmtId="0" fontId="10" fillId="8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9" fontId="10" fillId="14" borderId="8" xfId="0" applyNumberFormat="1" applyFont="1" applyFill="1" applyBorder="1" applyAlignment="1">
      <alignment horizontal="center"/>
    </xf>
    <xf numFmtId="9" fontId="10" fillId="7" borderId="8" xfId="0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4" fontId="10" fillId="7" borderId="10" xfId="0" applyNumberFormat="1" applyFont="1" applyFill="1" applyBorder="1"/>
    <xf numFmtId="0" fontId="15" fillId="14" borderId="8" xfId="0" applyFont="1" applyFill="1" applyBorder="1"/>
    <xf numFmtId="9" fontId="16" fillId="14" borderId="8" xfId="0" applyNumberFormat="1" applyFont="1" applyFill="1" applyBorder="1"/>
    <xf numFmtId="9" fontId="16" fillId="7" borderId="8" xfId="0" applyNumberFormat="1" applyFont="1" applyFill="1" applyBorder="1"/>
    <xf numFmtId="0" fontId="16" fillId="14" borderId="8" xfId="0" applyFont="1" applyFill="1" applyBorder="1" applyAlignment="1">
      <alignment horizontal="center"/>
    </xf>
    <xf numFmtId="0" fontId="16" fillId="7" borderId="8" xfId="0" applyFont="1" applyFill="1" applyBorder="1"/>
    <xf numFmtId="4" fontId="16" fillId="7" borderId="10" xfId="0" applyNumberFormat="1" applyFont="1" applyFill="1" applyBorder="1"/>
    <xf numFmtId="0" fontId="10" fillId="0" borderId="0" xfId="0" applyFont="1"/>
    <xf numFmtId="164" fontId="7" fillId="0" borderId="0" xfId="4" applyFont="1"/>
    <xf numFmtId="0" fontId="7" fillId="2" borderId="9" xfId="0" applyFont="1" applyFill="1" applyBorder="1" applyAlignment="1">
      <alignment horizontal="center"/>
    </xf>
    <xf numFmtId="164" fontId="10" fillId="0" borderId="0" xfId="4" applyFont="1" applyAlignment="1">
      <alignment horizontal="left"/>
    </xf>
    <xf numFmtId="0" fontId="10" fillId="0" borderId="0" xfId="0" applyFont="1" applyAlignment="1">
      <alignment horizontal="left"/>
    </xf>
    <xf numFmtId="0" fontId="11" fillId="15" borderId="9" xfId="0" applyFont="1" applyFill="1" applyBorder="1" applyAlignment="1">
      <alignment horizontal="center"/>
    </xf>
    <xf numFmtId="0" fontId="10" fillId="15" borderId="12" xfId="0" applyFont="1" applyFill="1" applyBorder="1"/>
    <xf numFmtId="4" fontId="10" fillId="15" borderId="8" xfId="0" applyNumberFormat="1" applyFont="1" applyFill="1" applyBorder="1"/>
    <xf numFmtId="0" fontId="10" fillId="15" borderId="8" xfId="0" applyFont="1" applyFill="1" applyBorder="1" applyAlignment="1">
      <alignment horizontal="center"/>
    </xf>
    <xf numFmtId="0" fontId="10" fillId="15" borderId="22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164" fontId="10" fillId="0" borderId="0" xfId="4" applyFont="1"/>
    <xf numFmtId="164" fontId="10" fillId="0" borderId="0" xfId="4" applyFont="1" applyFill="1"/>
    <xf numFmtId="0" fontId="10" fillId="14" borderId="8" xfId="0" applyFont="1" applyFill="1" applyBorder="1" applyAlignment="1">
      <alignment horizontal="center" wrapText="1"/>
    </xf>
    <xf numFmtId="0" fontId="10" fillId="16" borderId="15" xfId="0" applyFont="1" applyFill="1" applyBorder="1"/>
    <xf numFmtId="0" fontId="10" fillId="16" borderId="24" xfId="0" applyFont="1" applyFill="1" applyBorder="1"/>
    <xf numFmtId="4" fontId="7" fillId="16" borderId="16" xfId="0" applyNumberFormat="1" applyFont="1" applyFill="1" applyBorder="1"/>
    <xf numFmtId="0" fontId="10" fillId="0" borderId="0" xfId="0" applyFont="1" applyFill="1"/>
    <xf numFmtId="164" fontId="9" fillId="0" borderId="0" xfId="4" applyFont="1"/>
    <xf numFmtId="164" fontId="18" fillId="0" borderId="0" xfId="4" applyFon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8" xfId="0" applyNumberFormat="1" applyBorder="1"/>
    <xf numFmtId="0" fontId="10" fillId="12" borderId="8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0" fontId="0" fillId="12" borderId="0" xfId="0" applyFill="1"/>
    <xf numFmtId="0" fontId="1" fillId="0" borderId="0" xfId="0" applyFont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10" fillId="0" borderId="0" xfId="0" applyFont="1" applyFill="1" applyBorder="1"/>
    <xf numFmtId="164" fontId="10" fillId="0" borderId="0" xfId="4" applyFont="1" applyFill="1" applyBorder="1"/>
    <xf numFmtId="9" fontId="10" fillId="0" borderId="0" xfId="0" applyNumberFormat="1" applyFont="1" applyFill="1" applyBorder="1"/>
    <xf numFmtId="164" fontId="10" fillId="0" borderId="0" xfId="0" applyNumberFormat="1" applyFont="1" applyFill="1" applyBorder="1"/>
    <xf numFmtId="4" fontId="7" fillId="0" borderId="0" xfId="0" applyNumberFormat="1" applyFont="1" applyFill="1" applyBorder="1"/>
    <xf numFmtId="4" fontId="10" fillId="0" borderId="0" xfId="0" applyNumberFormat="1" applyFont="1" applyFill="1" applyBorder="1"/>
    <xf numFmtId="0" fontId="7" fillId="0" borderId="0" xfId="0" applyFont="1" applyFill="1" applyBorder="1"/>
    <xf numFmtId="167" fontId="10" fillId="0" borderId="0" xfId="0" applyNumberFormat="1" applyFont="1" applyFill="1" applyBorder="1"/>
    <xf numFmtId="4" fontId="10" fillId="8" borderId="9" xfId="0" applyNumberFormat="1" applyFont="1" applyFill="1" applyBorder="1" applyAlignment="1">
      <alignment wrapText="1"/>
    </xf>
    <xf numFmtId="4" fontId="7" fillId="13" borderId="10" xfId="0" applyNumberFormat="1" applyFont="1" applyFill="1" applyBorder="1"/>
    <xf numFmtId="0" fontId="14" fillId="8" borderId="9" xfId="0" applyFont="1" applyFill="1" applyBorder="1" applyAlignment="1">
      <alignment horizontal="left"/>
    </xf>
    <xf numFmtId="0" fontId="0" fillId="4" borderId="1" xfId="0" applyFill="1" applyBorder="1"/>
    <xf numFmtId="0" fontId="10" fillId="15" borderId="8" xfId="0" applyFont="1" applyFill="1" applyBorder="1"/>
    <xf numFmtId="0" fontId="6" fillId="13" borderId="8" xfId="0" applyFont="1" applyFill="1" applyBorder="1" applyAlignment="1">
      <alignment horizontal="center"/>
    </xf>
    <xf numFmtId="0" fontId="6" fillId="13" borderId="22" xfId="0" applyFont="1" applyFill="1" applyBorder="1" applyAlignment="1">
      <alignment horizontal="center"/>
    </xf>
    <xf numFmtId="3" fontId="0" fillId="0" borderId="3" xfId="0" applyNumberFormat="1" applyFill="1" applyBorder="1"/>
    <xf numFmtId="0" fontId="16" fillId="0" borderId="0" xfId="0" applyFont="1"/>
    <xf numFmtId="3" fontId="0" fillId="0" borderId="0" xfId="0" applyNumberFormat="1" applyFill="1" applyBorder="1"/>
    <xf numFmtId="4" fontId="15" fillId="11" borderId="18" xfId="0" applyNumberFormat="1" applyFont="1" applyFill="1" applyBorder="1" applyAlignment="1">
      <alignment horizontal="right" vertical="center"/>
    </xf>
    <xf numFmtId="4" fontId="15" fillId="11" borderId="13" xfId="0" applyNumberFormat="1" applyFont="1" applyFill="1" applyBorder="1" applyAlignment="1">
      <alignment horizontal="right" vertical="center"/>
    </xf>
    <xf numFmtId="2" fontId="15" fillId="11" borderId="17" xfId="0" applyNumberFormat="1" applyFont="1" applyFill="1" applyBorder="1" applyAlignment="1">
      <alignment horizontal="center"/>
    </xf>
    <xf numFmtId="49" fontId="15" fillId="11" borderId="33" xfId="0" applyNumberFormat="1" applyFont="1" applyFill="1" applyBorder="1" applyAlignment="1">
      <alignment horizontal="left" vertical="center"/>
    </xf>
    <xf numFmtId="49" fontId="15" fillId="11" borderId="35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center"/>
    </xf>
    <xf numFmtId="4" fontId="10" fillId="0" borderId="3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3" fontId="0" fillId="0" borderId="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0" fillId="14" borderId="35" xfId="0" applyFont="1" applyFill="1" applyBorder="1" applyAlignment="1">
      <alignment horizontal="center"/>
    </xf>
    <xf numFmtId="0" fontId="19" fillId="0" borderId="41" xfId="0" applyFont="1" applyFill="1" applyBorder="1"/>
    <xf numFmtId="3" fontId="19" fillId="0" borderId="1" xfId="0" applyNumberFormat="1" applyFont="1" applyFill="1" applyBorder="1"/>
    <xf numFmtId="3" fontId="19" fillId="0" borderId="2" xfId="0" applyNumberFormat="1" applyFont="1" applyFill="1" applyBorder="1"/>
    <xf numFmtId="0" fontId="19" fillId="0" borderId="39" xfId="0" applyFont="1" applyFill="1" applyBorder="1"/>
    <xf numFmtId="3" fontId="19" fillId="0" borderId="3" xfId="0" applyNumberFormat="1" applyFont="1" applyFill="1" applyBorder="1"/>
    <xf numFmtId="3" fontId="19" fillId="0" borderId="4" xfId="0" applyNumberFormat="1" applyFont="1" applyFill="1" applyBorder="1"/>
    <xf numFmtId="3" fontId="19" fillId="0" borderId="3" xfId="0" applyNumberFormat="1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0" fontId="19" fillId="0" borderId="40" xfId="0" applyFont="1" applyFill="1" applyBorder="1"/>
    <xf numFmtId="3" fontId="19" fillId="0" borderId="5" xfId="0" applyNumberFormat="1" applyFont="1" applyFill="1" applyBorder="1" applyAlignment="1">
      <alignment horizontal="center"/>
    </xf>
    <xf numFmtId="3" fontId="19" fillId="0" borderId="7" xfId="0" applyNumberFormat="1" applyFont="1" applyFill="1" applyBorder="1" applyAlignment="1">
      <alignment horizontal="center"/>
    </xf>
    <xf numFmtId="3" fontId="19" fillId="0" borderId="5" xfId="0" applyNumberFormat="1" applyFont="1" applyFill="1" applyBorder="1"/>
    <xf numFmtId="3" fontId="19" fillId="0" borderId="7" xfId="0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0" fontId="0" fillId="0" borderId="26" xfId="0" applyFill="1" applyBorder="1"/>
    <xf numFmtId="3" fontId="0" fillId="0" borderId="28" xfId="0" applyNumberFormat="1" applyBorder="1"/>
    <xf numFmtId="0" fontId="9" fillId="0" borderId="38" xfId="0" applyFont="1" applyBorder="1"/>
    <xf numFmtId="49" fontId="7" fillId="11" borderId="30" xfId="0" quotePrefix="1" applyNumberFormat="1" applyFont="1" applyFill="1" applyBorder="1" applyAlignment="1">
      <alignment horizontal="left" vertical="center"/>
    </xf>
    <xf numFmtId="4" fontId="15" fillId="11" borderId="18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4" fontId="20" fillId="0" borderId="39" xfId="0" applyNumberFormat="1" applyFont="1" applyFill="1" applyBorder="1" applyAlignment="1">
      <alignment wrapText="1"/>
    </xf>
    <xf numFmtId="0" fontId="9" fillId="0" borderId="3" xfId="0" applyFont="1" applyBorder="1" applyAlignment="1">
      <alignment horizontal="right" vertical="center"/>
    </xf>
    <xf numFmtId="49" fontId="7" fillId="11" borderId="31" xfId="0" quotePrefix="1" applyNumberFormat="1" applyFont="1" applyFill="1" applyBorder="1" applyAlignment="1">
      <alignment horizontal="center" vertical="center" wrapText="1"/>
    </xf>
    <xf numFmtId="49" fontId="15" fillId="11" borderId="34" xfId="0" applyNumberFormat="1" applyFont="1" applyFill="1" applyBorder="1" applyAlignment="1">
      <alignment horizontal="left" vertical="center"/>
    </xf>
    <xf numFmtId="168" fontId="9" fillId="0" borderId="0" xfId="4" applyNumberFormat="1" applyFont="1" applyFill="1"/>
    <xf numFmtId="0" fontId="9" fillId="0" borderId="0" xfId="0" quotePrefix="1" applyFont="1" applyFill="1"/>
    <xf numFmtId="10" fontId="9" fillId="0" borderId="0" xfId="0" applyNumberFormat="1" applyFont="1" applyFill="1"/>
    <xf numFmtId="168" fontId="9" fillId="0" borderId="0" xfId="0" applyNumberFormat="1" applyFont="1" applyFill="1"/>
    <xf numFmtId="164" fontId="9" fillId="0" borderId="0" xfId="4" quotePrefix="1" applyFont="1" applyFill="1"/>
    <xf numFmtId="10" fontId="9" fillId="0" borderId="0" xfId="3" applyNumberFormat="1" applyFont="1" applyFill="1"/>
    <xf numFmtId="164" fontId="9" fillId="0" borderId="0" xfId="4" applyFont="1" applyFill="1"/>
    <xf numFmtId="0" fontId="7" fillId="2" borderId="9" xfId="0" applyFont="1" applyFill="1" applyBorder="1" applyAlignment="1">
      <alignment horizontal="center"/>
    </xf>
    <xf numFmtId="0" fontId="0" fillId="0" borderId="40" xfId="0" applyBorder="1"/>
    <xf numFmtId="0" fontId="10" fillId="14" borderId="22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0" fillId="0" borderId="0" xfId="0" applyAlignment="1">
      <alignment wrapText="1"/>
    </xf>
    <xf numFmtId="4" fontId="10" fillId="8" borderId="8" xfId="0" applyNumberFormat="1" applyFont="1" applyFill="1" applyBorder="1" applyAlignment="1">
      <alignment horizontal="right" wrapText="1"/>
    </xf>
    <xf numFmtId="0" fontId="10" fillId="7" borderId="17" xfId="0" applyFont="1" applyFill="1" applyBorder="1"/>
    <xf numFmtId="9" fontId="10" fillId="7" borderId="17" xfId="0" applyNumberFormat="1" applyFont="1" applyFill="1" applyBorder="1"/>
    <xf numFmtId="4" fontId="12" fillId="7" borderId="18" xfId="0" applyNumberFormat="1" applyFont="1" applyFill="1" applyBorder="1"/>
    <xf numFmtId="4" fontId="10" fillId="8" borderId="10" xfId="0" applyNumberFormat="1" applyFont="1" applyFill="1" applyBorder="1" applyAlignment="1">
      <alignment wrapText="1"/>
    </xf>
    <xf numFmtId="3" fontId="0" fillId="0" borderId="0" xfId="0" applyNumberFormat="1"/>
    <xf numFmtId="0" fontId="22" fillId="0" borderId="0" xfId="5" applyAlignment="1">
      <alignment vertical="center"/>
    </xf>
    <xf numFmtId="2" fontId="10" fillId="0" borderId="0" xfId="4" applyNumberFormat="1" applyFont="1"/>
    <xf numFmtId="0" fontId="10" fillId="7" borderId="17" xfId="0" applyFont="1" applyFill="1" applyBorder="1" applyAlignment="1">
      <alignment horizontal="left"/>
    </xf>
    <xf numFmtId="9" fontId="10" fillId="7" borderId="17" xfId="0" applyNumberFormat="1" applyFont="1" applyFill="1" applyBorder="1" applyAlignment="1">
      <alignment horizontal="left"/>
    </xf>
    <xf numFmtId="9" fontId="16" fillId="7" borderId="17" xfId="0" applyNumberFormat="1" applyFont="1" applyFill="1" applyBorder="1"/>
    <xf numFmtId="0" fontId="16" fillId="7" borderId="17" xfId="0" applyFont="1" applyFill="1" applyBorder="1"/>
    <xf numFmtId="4" fontId="17" fillId="7" borderId="18" xfId="0" applyNumberFormat="1" applyFont="1" applyFill="1" applyBorder="1"/>
    <xf numFmtId="0" fontId="12" fillId="13" borderId="24" xfId="0" applyFont="1" applyFill="1" applyBorder="1" applyAlignment="1">
      <alignment horizontal="center" vertical="center" wrapText="1"/>
    </xf>
    <xf numFmtId="4" fontId="23" fillId="12" borderId="9" xfId="0" applyNumberFormat="1" applyFont="1" applyFill="1" applyBorder="1"/>
    <xf numFmtId="4" fontId="23" fillId="8" borderId="9" xfId="0" applyNumberFormat="1" applyFont="1" applyFill="1" applyBorder="1"/>
    <xf numFmtId="164" fontId="23" fillId="0" borderId="0" xfId="4" applyFont="1" applyAlignment="1">
      <alignment vertical="top" wrapText="1"/>
    </xf>
    <xf numFmtId="2" fontId="23" fillId="0" borderId="0" xfId="4" applyNumberFormat="1" applyFont="1" applyAlignment="1">
      <alignment vertical="center" wrapText="1"/>
    </xf>
    <xf numFmtId="2" fontId="12" fillId="0" borderId="0" xfId="4" applyNumberFormat="1" applyFont="1" applyAlignment="1">
      <alignment vertical="center" wrapText="1"/>
    </xf>
    <xf numFmtId="164" fontId="12" fillId="0" borderId="0" xfId="4" applyFont="1" applyAlignment="1">
      <alignment horizontal="left"/>
    </xf>
    <xf numFmtId="0" fontId="24" fillId="0" borderId="0" xfId="0" applyFont="1"/>
    <xf numFmtId="0" fontId="21" fillId="0" borderId="0" xfId="0" applyFont="1" applyAlignment="1">
      <alignment vertical="center" wrapText="1"/>
    </xf>
    <xf numFmtId="164" fontId="12" fillId="0" borderId="0" xfId="4" applyFont="1" applyAlignment="1">
      <alignment vertical="top" wrapText="1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0" fontId="10" fillId="8" borderId="21" xfId="0" applyFont="1" applyFill="1" applyBorder="1" applyAlignment="1">
      <alignment horizontal="left"/>
    </xf>
    <xf numFmtId="0" fontId="8" fillId="13" borderId="22" xfId="0" applyFont="1" applyFill="1" applyBorder="1" applyAlignment="1">
      <alignment horizontal="center" wrapText="1"/>
    </xf>
    <xf numFmtId="0" fontId="8" fillId="13" borderId="29" xfId="0" applyFont="1" applyFill="1" applyBorder="1" applyAlignment="1">
      <alignment horizontal="center" wrapText="1"/>
    </xf>
    <xf numFmtId="0" fontId="8" fillId="13" borderId="43" xfId="0" applyFont="1" applyFill="1" applyBorder="1" applyAlignment="1">
      <alignment horizontal="center" wrapText="1"/>
    </xf>
    <xf numFmtId="0" fontId="6" fillId="13" borderId="19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0" fontId="6" fillId="13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 vertical="center" wrapText="1"/>
    </xf>
    <xf numFmtId="0" fontId="6" fillId="1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8" borderId="37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49" fontId="7" fillId="2" borderId="30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left" vertical="center"/>
    </xf>
    <xf numFmtId="49" fontId="7" fillId="2" borderId="32" xfId="0" applyNumberFormat="1" applyFont="1" applyFill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</cellXfs>
  <cellStyles count="6">
    <cellStyle name="Dziesiętny" xfId="4" builtinId="3"/>
    <cellStyle name="Hiperłącze" xfId="5" builtinId="8"/>
    <cellStyle name="Normalny" xfId="0" builtinId="0"/>
    <cellStyle name="Normalny 2" xfId="1"/>
    <cellStyle name="Procentowy" xfId="3" builtinId="5"/>
    <cellStyle name="Walutowy 2" xfId="2"/>
  </cellStyles>
  <dxfs count="0"/>
  <tableStyles count="0" defaultTableStyle="TableStyleMedium2" defaultPivotStyle="PivotStyleLight16"/>
  <colors>
    <mruColors>
      <color rgb="FFF2F2F2"/>
      <color rgb="FFD9D9D9"/>
      <color rgb="FF92CDDC"/>
      <color rgb="FFFDF8A6"/>
      <color rgb="FFDAEEF3"/>
      <color rgb="FFFFFF66"/>
      <color rgb="FF008080"/>
      <color rgb="FF000080"/>
      <color rgb="FFD8E4BC"/>
      <color rgb="FFE0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tabSelected="1" zoomScale="80" zoomScaleNormal="80" workbookViewId="0">
      <selection activeCell="B77" sqref="B77"/>
    </sheetView>
  </sheetViews>
  <sheetFormatPr defaultColWidth="9.109375" defaultRowHeight="15.6" x14ac:dyDescent="0.3"/>
  <cols>
    <col min="1" max="1" width="44.88671875" style="152" customWidth="1"/>
    <col min="2" max="2" width="25.33203125" style="152" customWidth="1"/>
    <col min="3" max="4" width="18.33203125" style="152" customWidth="1"/>
    <col min="5" max="5" width="19.5546875" style="152" bestFit="1" customWidth="1"/>
    <col min="6" max="6" width="15.109375" style="152" customWidth="1"/>
    <col min="7" max="7" width="18.88671875" style="152" customWidth="1"/>
    <col min="8" max="8" width="11.6640625" style="152" customWidth="1"/>
    <col min="9" max="9" width="9.109375" style="152"/>
    <col min="10" max="10" width="65.33203125" style="164" customWidth="1"/>
    <col min="11" max="11" width="8.44140625" style="164" bestFit="1" customWidth="1"/>
    <col min="12" max="12" width="6.44140625" style="164" customWidth="1"/>
    <col min="13" max="13" width="13.109375" style="152" hidden="1" customWidth="1"/>
    <col min="14" max="15" width="6.44140625" style="152" hidden="1" customWidth="1"/>
    <col min="16" max="16" width="6.44140625" style="152" customWidth="1"/>
    <col min="17" max="16384" width="9.109375" style="152"/>
  </cols>
  <sheetData>
    <row r="1" spans="1:17" ht="78" x14ac:dyDescent="0.3">
      <c r="A1" s="25" t="s">
        <v>12</v>
      </c>
      <c r="B1" s="26" t="s">
        <v>61</v>
      </c>
      <c r="C1" s="27" t="s">
        <v>89</v>
      </c>
      <c r="D1" s="27" t="s">
        <v>90</v>
      </c>
      <c r="E1" s="28" t="s">
        <v>168</v>
      </c>
      <c r="F1" s="277" t="s">
        <v>91</v>
      </c>
      <c r="G1" s="29" t="s">
        <v>14</v>
      </c>
      <c r="H1" s="129" t="s">
        <v>25</v>
      </c>
      <c r="J1" s="280" t="s">
        <v>170</v>
      </c>
      <c r="M1" s="12"/>
      <c r="N1" s="12"/>
      <c r="O1" s="12"/>
    </row>
    <row r="2" spans="1:17" x14ac:dyDescent="0.3">
      <c r="A2" s="299" t="s">
        <v>173</v>
      </c>
      <c r="B2" s="300"/>
      <c r="C2" s="301"/>
      <c r="D2" s="30"/>
      <c r="E2" s="31"/>
      <c r="F2" s="32"/>
      <c r="G2" s="33"/>
      <c r="H2" s="152">
        <f>IF(G26&gt;0,1,0)</f>
        <v>0</v>
      </c>
      <c r="M2" s="12"/>
      <c r="N2" s="12"/>
      <c r="O2" s="12"/>
    </row>
    <row r="3" spans="1:17" x14ac:dyDescent="0.3">
      <c r="A3" s="278" t="s">
        <v>115</v>
      </c>
      <c r="B3" s="35" t="s">
        <v>3</v>
      </c>
      <c r="C3" s="36">
        <f>IF(B3="srebro",'Cennik enova365'!B7,IF(B3="złoto",'Cennik enova365'!D7,IF(B3= "platyna",'Cennik enova365'!F7)))</f>
        <v>224</v>
      </c>
      <c r="D3" s="36">
        <f>IF(B3="srebro",'Cennik enova365'!C7,IF(B3="złoto",'Cennik enova365'!E7,IF(B3= "platyna",'Cennik enova365'!G7)))</f>
        <v>281</v>
      </c>
      <c r="E3" s="37">
        <v>0</v>
      </c>
      <c r="F3" s="37">
        <v>0</v>
      </c>
      <c r="G3" s="38">
        <f t="shared" ref="G3:G20" si="0">IF(F3=0,C3*E3,IF(OR(AND(E3=0,F3&lt;&gt;0),F3&gt;E3),"błąd",((E3-F3)*C3)+(D3*F3)))</f>
        <v>0</v>
      </c>
      <c r="H3" s="152">
        <f t="shared" ref="H3:H26" si="1">IF(G3&gt;0,1,0)</f>
        <v>0</v>
      </c>
      <c r="J3" s="155"/>
      <c r="K3" s="155"/>
      <c r="L3" s="155"/>
      <c r="M3" s="12"/>
      <c r="N3" s="12">
        <f t="shared" ref="N3:N20" si="2">IF(AND(OR(B3="złoto",B3="srebro"),E3&gt;0),1,0)</f>
        <v>0</v>
      </c>
      <c r="O3" s="12"/>
      <c r="P3" s="156"/>
      <c r="Q3" s="156"/>
    </row>
    <row r="4" spans="1:17" ht="15.6" customHeight="1" x14ac:dyDescent="0.3">
      <c r="A4" s="279" t="s">
        <v>116</v>
      </c>
      <c r="B4" s="35" t="s">
        <v>1</v>
      </c>
      <c r="C4" s="36">
        <f>IF(B4="srebro",'Cennik enova365'!B8,IF(B4="złoto",'Cennik enova365'!D8,IF(B4= "platyna",'Cennik enova365'!F8)))</f>
        <v>32</v>
      </c>
      <c r="D4" s="36">
        <f>IF(B4="srebro",'Cennik enova365'!C8,IF(B4="złoto",'Cennik enova365'!E8,IF(B4= "platyna",'Cennik enova365'!G8)))</f>
        <v>45</v>
      </c>
      <c r="E4" s="37">
        <v>0</v>
      </c>
      <c r="F4" s="37">
        <v>0</v>
      </c>
      <c r="G4" s="38">
        <f t="shared" si="0"/>
        <v>0</v>
      </c>
      <c r="H4" s="152">
        <f t="shared" si="1"/>
        <v>0</v>
      </c>
      <c r="J4" s="280"/>
      <c r="K4" s="280"/>
      <c r="L4" s="280"/>
      <c r="M4" s="280"/>
      <c r="N4" s="12">
        <f t="shared" si="2"/>
        <v>0</v>
      </c>
      <c r="O4" s="12"/>
      <c r="P4" s="156"/>
      <c r="Q4" s="156"/>
    </row>
    <row r="5" spans="1:17" x14ac:dyDescent="0.3">
      <c r="A5" s="279" t="s">
        <v>117</v>
      </c>
      <c r="B5" s="35" t="s">
        <v>3</v>
      </c>
      <c r="C5" s="36">
        <f>IF(B5="srebro",'Cennik enova365'!B9,IF(B5="złoto",'Cennik enova365'!D9,IF(B5= "platyna",'Cennik enova365'!F9)))</f>
        <v>168</v>
      </c>
      <c r="D5" s="36">
        <f>IF(B5="srebro",'Cennik enova365'!C9,IF(B5="złoto",'Cennik enova365'!E9,IF(B5= "platyna",'Cennik enova365'!G9)))</f>
        <v>209</v>
      </c>
      <c r="E5" s="37">
        <v>0</v>
      </c>
      <c r="F5" s="37">
        <v>0</v>
      </c>
      <c r="G5" s="38">
        <f>IF(AND((E4+F4&gt;0),(E5+F5)&gt;0),"usuń Ks. Podatkową",IF(F5=0,C5*E5,IF(OR(AND(E5=0,F5&lt;&gt;0),F5&gt;E5),"błąd",((E5-F5)*C5)+(D5*F5))))</f>
        <v>0</v>
      </c>
      <c r="H5" s="152">
        <f t="shared" si="1"/>
        <v>0</v>
      </c>
      <c r="J5" s="286" t="str">
        <f>IF(G5="usuń Ks. Podatkową","Ks. Podatkowej i Handlowej nie można łączyć w ramach jednej licencji"," ")</f>
        <v xml:space="preserve"> </v>
      </c>
      <c r="K5" s="280"/>
      <c r="L5" s="280"/>
      <c r="M5" s="280"/>
      <c r="N5" s="12">
        <f t="shared" si="2"/>
        <v>0</v>
      </c>
      <c r="O5" s="12"/>
      <c r="P5" s="156"/>
      <c r="Q5" s="156"/>
    </row>
    <row r="6" spans="1:17" x14ac:dyDescent="0.3">
      <c r="A6" s="279" t="s">
        <v>118</v>
      </c>
      <c r="B6" s="35" t="s">
        <v>3</v>
      </c>
      <c r="C6" s="36">
        <f>IF(B6="srebro",'Cennik enova365'!B10,IF(B6="złoto",'Cennik enova365'!D10,IF(B6= "platyna",'Cennik enova365'!F10)))</f>
        <v>66</v>
      </c>
      <c r="D6" s="36">
        <f>IF(B6="srebro",'Cennik enova365'!C10,IF(B6="złoto",'Cennik enova365'!E10,IF(B6= "platyna",'Cennik enova365'!G10)))</f>
        <v>83</v>
      </c>
      <c r="E6" s="37">
        <v>0</v>
      </c>
      <c r="F6" s="37">
        <v>0</v>
      </c>
      <c r="G6" s="38">
        <f t="shared" si="0"/>
        <v>0</v>
      </c>
      <c r="H6" s="152">
        <f t="shared" si="1"/>
        <v>0</v>
      </c>
      <c r="J6" s="286" t="str">
        <f>IF(B6="platyna"," ",IF(E6+F6=0," ",IF(AND(E5+F5&gt;0,B6&lt;&gt;B5),"Ks. Inwentarzowa musi mieć taki sam kolor jak Ks. Handlowa",IF(AND(E4+F4&gt;0,E5+F5=0,B4&lt;&gt;B6),"Ks. Inwentarzowa musi mieć taki sam kolor jak Ks. Podatkowa"," "))))</f>
        <v xml:space="preserve"> </v>
      </c>
      <c r="K6" s="280"/>
      <c r="L6" s="280"/>
      <c r="M6" s="280"/>
      <c r="N6" s="12">
        <f t="shared" si="2"/>
        <v>0</v>
      </c>
      <c r="O6" s="12"/>
      <c r="P6" s="156"/>
      <c r="Q6" s="156"/>
    </row>
    <row r="7" spans="1:17" ht="31.2" x14ac:dyDescent="0.3">
      <c r="A7" s="193" t="s">
        <v>119</v>
      </c>
      <c r="B7" s="35" t="s">
        <v>3</v>
      </c>
      <c r="C7" s="36">
        <f>IF(B7="srebro",'Cennik enova365'!B11,IF(B7="złoto",'Cennik enova365'!D11,IF(B7= "platyna",'Cennik enova365'!F11)))</f>
        <v>26</v>
      </c>
      <c r="D7" s="36">
        <f>IF(B7="srebro",'Cennik enova365'!C11,IF(B7="złoto",'Cennik enova365'!E11,IF(B7= "platyna",'Cennik enova365'!G11)))</f>
        <v>33</v>
      </c>
      <c r="E7" s="37">
        <v>0</v>
      </c>
      <c r="F7" s="37">
        <v>0</v>
      </c>
      <c r="G7" s="38">
        <f t="shared" si="0"/>
        <v>0</v>
      </c>
      <c r="H7" s="152">
        <f t="shared" si="1"/>
        <v>0</v>
      </c>
      <c r="J7" s="286"/>
      <c r="K7" s="280"/>
      <c r="L7" s="280"/>
      <c r="M7" s="280"/>
      <c r="N7" s="12">
        <f t="shared" si="2"/>
        <v>0</v>
      </c>
      <c r="O7" s="12"/>
      <c r="P7" s="156"/>
      <c r="Q7" s="156"/>
    </row>
    <row r="8" spans="1:17" x14ac:dyDescent="0.3">
      <c r="A8" s="193" t="s">
        <v>169</v>
      </c>
      <c r="B8" s="35" t="s">
        <v>3</v>
      </c>
      <c r="C8" s="36">
        <f>IF(B8="srebro",'Cennik enova365'!B12,IF(B8="złoto",'Cennik enova365'!D12,IF(B8= "platyna",'Cennik enova365'!F12)))</f>
        <v>59</v>
      </c>
      <c r="D8" s="36">
        <f>IF(B8="srebro",'Cennik enova365'!C12,IF(B8="złoto",'Cennik enova365'!E12,IF(B8= "platyna",'Cennik enova365'!G12)))</f>
        <v>71</v>
      </c>
      <c r="E8" s="37">
        <v>0</v>
      </c>
      <c r="F8" s="37">
        <v>0</v>
      </c>
      <c r="G8" s="38">
        <f t="shared" si="0"/>
        <v>0</v>
      </c>
      <c r="H8" s="152">
        <f t="shared" si="1"/>
        <v>0</v>
      </c>
      <c r="J8" s="280"/>
      <c r="K8" s="280"/>
      <c r="L8" s="280"/>
      <c r="M8" s="280"/>
      <c r="N8" s="12">
        <f t="shared" si="2"/>
        <v>0</v>
      </c>
      <c r="O8" s="12"/>
      <c r="P8" s="156"/>
      <c r="Q8" s="156"/>
    </row>
    <row r="9" spans="1:17" x14ac:dyDescent="0.3">
      <c r="A9" s="279" t="s">
        <v>120</v>
      </c>
      <c r="B9" s="35" t="s">
        <v>3</v>
      </c>
      <c r="C9" s="36">
        <f>IF(B9="srebro",'Cennik enova365'!B13,IF(B9="złoto",'Cennik enova365'!D13,IF(B9= "platyna",'Cennik enova365'!F13)))</f>
        <v>33</v>
      </c>
      <c r="D9" s="36">
        <f>IF(B9="srebro",'Cennik enova365'!C13,IF(B9="złoto",'Cennik enova365'!E13,IF(B9= "platyna",'Cennik enova365'!G13)))</f>
        <v>41</v>
      </c>
      <c r="E9" s="37">
        <v>0</v>
      </c>
      <c r="F9" s="37">
        <v>0</v>
      </c>
      <c r="G9" s="38">
        <f t="shared" si="0"/>
        <v>0</v>
      </c>
      <c r="H9" s="152">
        <f t="shared" si="1"/>
        <v>0</v>
      </c>
      <c r="J9" s="280"/>
      <c r="K9" s="280"/>
      <c r="L9" s="280"/>
      <c r="M9" s="280"/>
      <c r="N9" s="12">
        <f t="shared" si="2"/>
        <v>0</v>
      </c>
      <c r="O9" s="12"/>
      <c r="P9" s="156"/>
      <c r="Q9" s="156"/>
    </row>
    <row r="10" spans="1:17" ht="15.6" customHeight="1" x14ac:dyDescent="0.3">
      <c r="A10" s="279" t="s">
        <v>121</v>
      </c>
      <c r="B10" s="35" t="s">
        <v>3</v>
      </c>
      <c r="C10" s="36">
        <f>IF(B10="srebro",'Cennik enova365'!B14,IF(B10="złoto",'Cennik enova365'!D14,IF(B10= "platyna",'Cennik enova365'!F14)))</f>
        <v>100</v>
      </c>
      <c r="D10" s="36">
        <f>IF(B10="srebro",'Cennik enova365'!C14,IF(B10="złoto",'Cennik enova365'!E14,IF(B10= "platyna",'Cennik enova365'!G14)))</f>
        <v>124</v>
      </c>
      <c r="E10" s="37">
        <v>0</v>
      </c>
      <c r="F10" s="37">
        <v>0</v>
      </c>
      <c r="G10" s="38">
        <f>IF(AND((E9+F9&gt;0),(E10+F10)&gt;0),"usuń Faktury",IF(F10=0,C10*E10,IF(OR(AND(E10=0,F10&lt;&gt;0),F10&gt;E10),"błąd",((E10-F10)*C10)+(D10*F10))))</f>
        <v>0</v>
      </c>
      <c r="H10" s="152">
        <f t="shared" si="1"/>
        <v>0</v>
      </c>
      <c r="J10" s="282" t="str">
        <f>IF(G10="usuń Faktury","Faktur i Handlu nie można łączyć w ramach jednej licencji"," ")</f>
        <v xml:space="preserve"> </v>
      </c>
      <c r="K10" s="281"/>
      <c r="L10" s="281"/>
      <c r="M10" s="280"/>
      <c r="N10" s="12">
        <f t="shared" si="2"/>
        <v>0</v>
      </c>
      <c r="O10" s="12"/>
      <c r="P10" s="156"/>
      <c r="Q10" s="156"/>
    </row>
    <row r="11" spans="1:17" x14ac:dyDescent="0.3">
      <c r="A11" s="106" t="s">
        <v>122</v>
      </c>
      <c r="B11" s="35" t="s">
        <v>3</v>
      </c>
      <c r="C11" s="36">
        <f>IF(B11="srebro",'Cennik enova365'!B15,IF(B11="złoto",'Cennik enova365'!D15,IF(B11= "platyna",'Cennik enova365'!F15)))</f>
        <v>106</v>
      </c>
      <c r="D11" s="36">
        <f>IF(B11="srebro",'Cennik enova365'!C15,IF(B11="złoto",'Cennik enova365'!E15,IF(B11= "platyna",'Cennik enova365'!G15)))</f>
        <v>133</v>
      </c>
      <c r="E11" s="37">
        <v>0</v>
      </c>
      <c r="F11" s="37">
        <v>0</v>
      </c>
      <c r="G11" s="38">
        <f t="shared" si="0"/>
        <v>0</v>
      </c>
      <c r="H11" s="152">
        <f t="shared" si="1"/>
        <v>0</v>
      </c>
      <c r="J11" s="280"/>
      <c r="K11" s="280"/>
      <c r="L11" s="280"/>
      <c r="M11" s="280"/>
      <c r="N11" s="12">
        <f t="shared" si="2"/>
        <v>0</v>
      </c>
      <c r="O11" s="12"/>
      <c r="P11" s="156"/>
      <c r="Q11" s="156"/>
    </row>
    <row r="12" spans="1:17" x14ac:dyDescent="0.3">
      <c r="A12" s="106" t="s">
        <v>123</v>
      </c>
      <c r="B12" s="35" t="s">
        <v>3</v>
      </c>
      <c r="C12" s="36">
        <f>IF(B12="srebro",'Cennik enova365'!B16,IF(B12="złoto",'Cennik enova365'!D16,IF(B12= "platyna",'Cennik enova365'!F16)))</f>
        <v>133</v>
      </c>
      <c r="D12" s="36">
        <f>IF(B12="srebro",'Cennik enova365'!C16,IF(B12="złoto",'Cennik enova365'!E16,IF(B12= "platyna",'Cennik enova365'!G16)))</f>
        <v>166</v>
      </c>
      <c r="E12" s="37">
        <v>0</v>
      </c>
      <c r="F12" s="37">
        <v>0</v>
      </c>
      <c r="G12" s="38">
        <f t="shared" si="0"/>
        <v>0</v>
      </c>
      <c r="H12" s="152">
        <f t="shared" si="1"/>
        <v>0</v>
      </c>
      <c r="J12" s="280"/>
      <c r="K12" s="280"/>
      <c r="L12" s="280"/>
      <c r="M12" s="280"/>
      <c r="N12" s="12">
        <f t="shared" si="2"/>
        <v>0</v>
      </c>
      <c r="O12" s="12"/>
      <c r="P12" s="156"/>
      <c r="Q12" s="156"/>
    </row>
    <row r="13" spans="1:17" x14ac:dyDescent="0.3">
      <c r="A13" s="279" t="s">
        <v>124</v>
      </c>
      <c r="B13" s="35" t="s">
        <v>3</v>
      </c>
      <c r="C13" s="36">
        <f>IF(B13="srebro",'Cennik enova365'!B17,IF(B13="złoto",'Cennik enova365'!D17,IF(B13= "platyna",'Cennik enova365'!F17)))</f>
        <v>61</v>
      </c>
      <c r="D13" s="36">
        <f>IF(B13="srebro",'Cennik enova365'!C17,IF(B13="złoto",'Cennik enova365'!E17,IF(B13= "platyna",'Cennik enova365'!G17)))</f>
        <v>77</v>
      </c>
      <c r="E13" s="37">
        <v>0</v>
      </c>
      <c r="F13" s="37">
        <v>0</v>
      </c>
      <c r="G13" s="38">
        <f t="shared" si="0"/>
        <v>0</v>
      </c>
      <c r="H13" s="152">
        <f t="shared" si="1"/>
        <v>0</v>
      </c>
      <c r="J13" s="280" t="str">
        <f>IF(E13+F13&gt;0,"zawiera pełną funcjonalność e-mail"," ")</f>
        <v xml:space="preserve"> </v>
      </c>
      <c r="K13" s="280"/>
      <c r="L13" s="280"/>
      <c r="M13" s="280"/>
      <c r="N13" s="12">
        <f t="shared" si="2"/>
        <v>0</v>
      </c>
      <c r="O13" s="12"/>
      <c r="P13" s="156"/>
      <c r="Q13" s="156"/>
    </row>
    <row r="14" spans="1:17" x14ac:dyDescent="0.3">
      <c r="A14" s="279" t="s">
        <v>125</v>
      </c>
      <c r="B14" s="35" t="s">
        <v>3</v>
      </c>
      <c r="C14" s="36">
        <f>IF(B14="srebro",'Cennik enova365'!B18,IF(B14="złoto",'Cennik enova365'!D18,IF(B14= "platyna",'Cennik enova365'!F18)))</f>
        <v>46</v>
      </c>
      <c r="D14" s="36">
        <f>IF(B14="srebro",'Cennik enova365'!C18,IF(B14="złoto",'Cennik enova365'!E18,IF(B14= "platyna",'Cennik enova365'!G18)))</f>
        <v>58</v>
      </c>
      <c r="E14" s="37">
        <v>0</v>
      </c>
      <c r="F14" s="37">
        <v>0</v>
      </c>
      <c r="G14" s="38">
        <f t="shared" si="0"/>
        <v>0</v>
      </c>
      <c r="H14" s="152">
        <f t="shared" si="1"/>
        <v>0</v>
      </c>
      <c r="J14" s="280"/>
      <c r="K14" s="280"/>
      <c r="L14" s="280"/>
      <c r="M14" s="280"/>
      <c r="N14" s="12">
        <f t="shared" si="2"/>
        <v>0</v>
      </c>
      <c r="O14" s="12"/>
      <c r="P14" s="156"/>
      <c r="Q14" s="156"/>
    </row>
    <row r="15" spans="1:17" x14ac:dyDescent="0.3">
      <c r="A15" s="279" t="s">
        <v>126</v>
      </c>
      <c r="B15" s="35" t="s">
        <v>3</v>
      </c>
      <c r="C15" s="36">
        <f>IF(B15="srebro",'Cennik enova365'!B19,IF(B15="złoto",'Cennik enova365'!D19,IF(B15= "platyna",'Cennik enova365'!F19)))</f>
        <v>53</v>
      </c>
      <c r="D15" s="36">
        <f>IF(B15="srebro",'Cennik enova365'!C19,IF(B15="złoto",'Cennik enova365'!E19,IF(B15= "platyna",'Cennik enova365'!G19)))</f>
        <v>66</v>
      </c>
      <c r="E15" s="37">
        <v>0</v>
      </c>
      <c r="F15" s="37">
        <v>0</v>
      </c>
      <c r="G15" s="38">
        <f t="shared" si="0"/>
        <v>0</v>
      </c>
      <c r="H15" s="152">
        <f t="shared" si="1"/>
        <v>0</v>
      </c>
      <c r="J15" s="280"/>
      <c r="K15" s="280"/>
      <c r="L15" s="280"/>
      <c r="M15" s="280"/>
      <c r="N15" s="12">
        <f t="shared" si="2"/>
        <v>0</v>
      </c>
      <c r="O15" s="12"/>
      <c r="P15" s="156"/>
      <c r="Q15" s="156"/>
    </row>
    <row r="16" spans="1:17" x14ac:dyDescent="0.3">
      <c r="A16" s="279" t="s">
        <v>127</v>
      </c>
      <c r="B16" s="35" t="s">
        <v>3</v>
      </c>
      <c r="C16" s="36">
        <f>IF(B16="srebro",'Cennik enova365'!B20,IF(B16="złoto",'Cennik enova365'!D20,IF(B16= "platyna",'Cennik enova365'!F20)))</f>
        <v>46</v>
      </c>
      <c r="D16" s="36">
        <f>IF(B16="srebro",'Cennik enova365'!C20,IF(B16="złoto",'Cennik enova365'!E20,IF(B16= "platyna",'Cennik enova365'!G20)))</f>
        <v>58</v>
      </c>
      <c r="E16" s="37">
        <v>0</v>
      </c>
      <c r="F16" s="37">
        <v>0</v>
      </c>
      <c r="G16" s="38">
        <f t="shared" si="0"/>
        <v>0</v>
      </c>
      <c r="H16" s="152">
        <f t="shared" si="1"/>
        <v>0</v>
      </c>
      <c r="J16" s="280"/>
      <c r="K16" s="280"/>
      <c r="L16" s="280"/>
      <c r="M16" s="280"/>
      <c r="N16" s="12">
        <f t="shared" si="2"/>
        <v>0</v>
      </c>
      <c r="O16" s="12"/>
      <c r="P16" s="156"/>
      <c r="Q16" s="156"/>
    </row>
    <row r="17" spans="1:17" x14ac:dyDescent="0.3">
      <c r="A17" s="279" t="s">
        <v>128</v>
      </c>
      <c r="B17" s="35" t="s">
        <v>3</v>
      </c>
      <c r="C17" s="36">
        <f>IF(B17="srebro",'Cennik enova365'!B21,IF(B17="złoto",'Cennik enova365'!D21,IF(B17= "platyna",'Cennik enova365'!F21)))</f>
        <v>46</v>
      </c>
      <c r="D17" s="36">
        <f>IF(B17="srebro",'Cennik enova365'!C21,IF(B17="złoto",'Cennik enova365'!E21,IF(B17= "platyna",'Cennik enova365'!G21)))</f>
        <v>58</v>
      </c>
      <c r="E17" s="37">
        <v>0</v>
      </c>
      <c r="F17" s="37">
        <v>0</v>
      </c>
      <c r="G17" s="38">
        <f t="shared" si="0"/>
        <v>0</v>
      </c>
      <c r="H17" s="152">
        <f t="shared" si="1"/>
        <v>0</v>
      </c>
      <c r="J17" s="280"/>
      <c r="K17" s="280"/>
      <c r="L17" s="280"/>
      <c r="M17" s="280"/>
      <c r="N17" s="12">
        <f t="shared" si="2"/>
        <v>0</v>
      </c>
      <c r="O17" s="12"/>
      <c r="P17" s="156"/>
      <c r="Q17" s="156"/>
    </row>
    <row r="18" spans="1:17" x14ac:dyDescent="0.3">
      <c r="A18" s="279" t="s">
        <v>129</v>
      </c>
      <c r="B18" s="35" t="s">
        <v>3</v>
      </c>
      <c r="C18" s="36">
        <f>IF(B18="srebro",'Cennik enova365'!B22,IF(B18="złoto",'Cennik enova365'!D22,IF(B18= "platyna",'Cennik enova365'!F22)))</f>
        <v>113</v>
      </c>
      <c r="D18" s="36">
        <f>IF(B18="srebro",'Cennik enova365'!C22,IF(B18="złoto",'Cennik enova365'!E22,IF(B18= "platyna",'Cennik enova365'!G22)))</f>
        <v>141</v>
      </c>
      <c r="E18" s="37">
        <v>0</v>
      </c>
      <c r="F18" s="37">
        <v>0</v>
      </c>
      <c r="G18" s="38">
        <f t="shared" si="0"/>
        <v>0</v>
      </c>
      <c r="H18" s="152">
        <f t="shared" si="1"/>
        <v>0</v>
      </c>
      <c r="J18" s="280" t="str">
        <f>IF(E18+F18&gt;0,"zawiera pełną funcjonalność CRM oraz e-mail"," ")</f>
        <v xml:space="preserve"> </v>
      </c>
      <c r="K18" s="155"/>
      <c r="L18" s="155"/>
      <c r="M18" s="12"/>
      <c r="N18" s="12">
        <f t="shared" si="2"/>
        <v>0</v>
      </c>
      <c r="O18" s="12"/>
      <c r="P18" s="156"/>
      <c r="Q18" s="156"/>
    </row>
    <row r="19" spans="1:17" x14ac:dyDescent="0.3">
      <c r="A19" s="106" t="s">
        <v>130</v>
      </c>
      <c r="B19" s="35" t="s">
        <v>3</v>
      </c>
      <c r="C19" s="36">
        <f>IF(B19="srebro",'Cennik enova365'!B23,IF(B19="złoto",'Cennik enova365'!D23,IF(B19= "platyna",'Cennik enova365'!F23)))</f>
        <v>20</v>
      </c>
      <c r="D19" s="36">
        <f>IF(B19="srebro",'Cennik enova365'!C23,IF(B19="złoto",'Cennik enova365'!E23,IF(B19= "platyna",'Cennik enova365'!G23)))</f>
        <v>20</v>
      </c>
      <c r="E19" s="37">
        <v>0</v>
      </c>
      <c r="F19" s="37">
        <v>0</v>
      </c>
      <c r="G19" s="38">
        <f t="shared" si="0"/>
        <v>0</v>
      </c>
      <c r="H19" s="152">
        <f t="shared" si="1"/>
        <v>0</v>
      </c>
      <c r="J19" s="155"/>
      <c r="K19" s="155"/>
      <c r="L19" s="155"/>
      <c r="M19" s="12"/>
      <c r="N19" s="12">
        <f t="shared" si="2"/>
        <v>0</v>
      </c>
      <c r="O19" s="12"/>
      <c r="P19" s="156"/>
      <c r="Q19" s="156"/>
    </row>
    <row r="20" spans="1:17" x14ac:dyDescent="0.3">
      <c r="A20" s="106" t="s">
        <v>131</v>
      </c>
      <c r="B20" s="35" t="s">
        <v>3</v>
      </c>
      <c r="C20" s="36">
        <f>IF(B20="srebro",'Cennik enova365'!B24,IF(B20="złoto",'Cennik enova365'!D24,IF(B20= "platyna",'Cennik enova365'!F24)))</f>
        <v>26</v>
      </c>
      <c r="D20" s="36">
        <f>IF(B20="srebro",'Cennik enova365'!C24,IF(B20="złoto",'Cennik enova365'!E24,IF(B20= "platyna",'Cennik enova365'!G24)))</f>
        <v>26</v>
      </c>
      <c r="E20" s="37">
        <v>0</v>
      </c>
      <c r="F20" s="37">
        <v>0</v>
      </c>
      <c r="G20" s="38">
        <f t="shared" si="0"/>
        <v>0</v>
      </c>
      <c r="H20" s="152">
        <f t="shared" si="1"/>
        <v>0</v>
      </c>
      <c r="J20" s="155"/>
      <c r="K20" s="155"/>
      <c r="L20" s="155"/>
      <c r="M20" s="12"/>
      <c r="N20" s="12">
        <f t="shared" si="2"/>
        <v>0</v>
      </c>
      <c r="O20" s="12"/>
      <c r="P20" s="156"/>
      <c r="Q20" s="156"/>
    </row>
    <row r="21" spans="1:17" x14ac:dyDescent="0.3">
      <c r="A21" s="106" t="s">
        <v>132</v>
      </c>
      <c r="B21" s="179"/>
      <c r="C21" s="36">
        <f>'Cennik enova365'!D25</f>
        <v>166</v>
      </c>
      <c r="D21" s="36"/>
      <c r="E21" s="179"/>
      <c r="F21" s="179"/>
      <c r="G21" s="38">
        <f>IF(OR((AND(B19="platyna",E19&gt;0)),E20&gt;0),C21,0)</f>
        <v>0</v>
      </c>
      <c r="H21" s="152">
        <f t="shared" si="1"/>
        <v>0</v>
      </c>
      <c r="J21" s="155"/>
      <c r="K21" s="155"/>
      <c r="L21" s="155"/>
      <c r="M21" s="12"/>
      <c r="N21" s="12"/>
      <c r="O21" s="12"/>
      <c r="P21" s="156"/>
      <c r="Q21" s="156"/>
    </row>
    <row r="22" spans="1:17" x14ac:dyDescent="0.3">
      <c r="A22" s="106" t="s">
        <v>133</v>
      </c>
      <c r="B22" s="35" t="s">
        <v>3</v>
      </c>
      <c r="C22" s="36">
        <f>IF(B22="srebro",'Cennik enova365'!B26,IF(B22="złoto",'Cennik enova365'!D26,IF(B22= "platyna",'Cennik enova365'!F26)))</f>
        <v>46</v>
      </c>
      <c r="D22" s="36">
        <f>IF(B22="srebro",'Cennik enova365'!C26,IF(B22="złoto",'Cennik enova365'!E26,IF(B22= "platyna",'Cennik enova365'!G26)))</f>
        <v>58</v>
      </c>
      <c r="E22" s="37">
        <v>0</v>
      </c>
      <c r="F22" s="37">
        <v>0</v>
      </c>
      <c r="G22" s="38">
        <f>IF(F22=0,C22*E22,IF(OR(AND(E22=0,F22&lt;&gt;0),F22&gt;E22),"błąd",((E22-F22)*C22)+(D22*F22)))</f>
        <v>0</v>
      </c>
      <c r="H22" s="152">
        <f t="shared" si="1"/>
        <v>0</v>
      </c>
      <c r="J22" s="283" t="str">
        <f>IF(F22&gt;0,"jeżeli planujemy korzystać z Poglądu multi to na licencji musi być min. 1 st. multi w ramach poglądanego modułu"," ")</f>
        <v xml:space="preserve"> </v>
      </c>
      <c r="K22" s="155"/>
      <c r="L22" s="155"/>
      <c r="M22" s="12"/>
      <c r="N22" s="12">
        <f>IF(AND(OR(B22="złoto",B22="srebro"),E22&gt;0),1,0)</f>
        <v>0</v>
      </c>
      <c r="O22" s="12"/>
      <c r="P22" s="156"/>
      <c r="Q22" s="156"/>
    </row>
    <row r="23" spans="1:17" x14ac:dyDescent="0.3">
      <c r="A23" s="106" t="s">
        <v>134</v>
      </c>
      <c r="B23" s="35" t="s">
        <v>3</v>
      </c>
      <c r="C23" s="36">
        <f>IF(B23="srebro",'Cennik enova365'!B27,IF(B23="złoto",'Cennik enova365'!D27,IF(B23= "platyna",'Cennik enova365'!F27)))</f>
        <v>53</v>
      </c>
      <c r="D23" s="36">
        <f>IF(B23="srebro",'Cennik enova365'!C27,IF(B23="złoto",'Cennik enova365'!E27,IF(B23= "platyna",'Cennik enova365'!G27)))</f>
        <v>66</v>
      </c>
      <c r="E23" s="37">
        <v>0</v>
      </c>
      <c r="F23" s="37">
        <v>0</v>
      </c>
      <c r="G23" s="38">
        <f>IF(F23=0,C23*E23,IF(OR(AND(E23=0,F23&lt;&gt;0),F23&gt;E23),"błąd",((E23-F23)*C23)+(D23*F23)))</f>
        <v>0</v>
      </c>
      <c r="H23" s="152">
        <f t="shared" si="1"/>
        <v>0</v>
      </c>
      <c r="J23" s="155"/>
      <c r="K23" s="155"/>
      <c r="L23" s="155"/>
      <c r="M23" s="12"/>
      <c r="N23" s="12">
        <f>IF(AND(OR(B23="złoto",B23="srebro"),E23&gt;0),1,0)</f>
        <v>0</v>
      </c>
      <c r="O23" s="12"/>
      <c r="P23" s="156"/>
      <c r="Q23" s="156"/>
    </row>
    <row r="24" spans="1:17" x14ac:dyDescent="0.3">
      <c r="A24" s="279" t="s">
        <v>135</v>
      </c>
      <c r="B24" s="35" t="s">
        <v>3</v>
      </c>
      <c r="C24" s="36">
        <f>IF(B24="srebro",'Cennik enova365'!B28,IF(B24="złoto",'Cennik enova365'!D28,IF(B24= "platyna",'Cennik enova365'!F28)))</f>
        <v>33</v>
      </c>
      <c r="D24" s="36">
        <f>IF(B24="srebro",'Cennik enova365'!C28,IF(B24="złoto",'Cennik enova365'!E28,IF(B24= "platyna",'Cennik enova365'!G28)))</f>
        <v>41</v>
      </c>
      <c r="E24" s="37">
        <v>0</v>
      </c>
      <c r="F24" s="37">
        <v>0</v>
      </c>
      <c r="G24" s="38">
        <f>IF(F24=0,C24*E24,IF(OR(AND(E24=0,F24&lt;&gt;0),F24&gt;E24),"błąd",((E24-F24)*C24)+(D24*F24)))</f>
        <v>0</v>
      </c>
      <c r="H24" s="152">
        <f t="shared" si="1"/>
        <v>0</v>
      </c>
      <c r="J24" s="155"/>
      <c r="K24" s="155"/>
      <c r="L24" s="155"/>
      <c r="M24" s="12"/>
      <c r="N24" s="12">
        <f>IF(AND(OR(B24="złoto",B24="srebro"),E24&gt;0),1,0)</f>
        <v>0</v>
      </c>
      <c r="O24" s="12"/>
      <c r="P24" s="156"/>
      <c r="Q24" s="156"/>
    </row>
    <row r="25" spans="1:17" x14ac:dyDescent="0.3">
      <c r="A25" s="106" t="s">
        <v>136</v>
      </c>
      <c r="B25" s="226" t="s">
        <v>3</v>
      </c>
      <c r="C25" s="36">
        <f>IF(B25="srebro",'Cennik enova365'!B29,IF(B25="złoto",'Cennik enova365'!D29,IF(B25= "platyna",'Cennik enova365'!F29)))</f>
        <v>21</v>
      </c>
      <c r="D25" s="36">
        <f>IF(B25="srebro",'Cennik enova365'!C29,IF(B25="złoto",'Cennik enova365'!E29,IF(B25= "platyna",'Cennik enova365'!G29)))</f>
        <v>27</v>
      </c>
      <c r="E25" s="37">
        <v>0</v>
      </c>
      <c r="F25" s="37">
        <v>0</v>
      </c>
      <c r="G25" s="38">
        <f>IF(F25=0,C25*E25,IF(OR(AND(E25=0,F25&lt;&gt;0),F25&gt;E25),"błąd",((E25-F25)*C25)+(D25*F25)))</f>
        <v>0</v>
      </c>
      <c r="H25" s="152">
        <f t="shared" si="1"/>
        <v>0</v>
      </c>
      <c r="J25" s="155"/>
      <c r="K25" s="155"/>
      <c r="L25" s="155"/>
      <c r="M25" s="12"/>
      <c r="N25" s="12">
        <f>IF(AND(OR(B25="złoto",B25="srebro"),E25&gt;0),1,0)</f>
        <v>0</v>
      </c>
      <c r="O25" s="12"/>
      <c r="P25" s="156"/>
      <c r="Q25" s="156"/>
    </row>
    <row r="26" spans="1:17" x14ac:dyDescent="0.3">
      <c r="A26" s="157" t="s">
        <v>15</v>
      </c>
      <c r="B26" s="158"/>
      <c r="C26" s="159"/>
      <c r="D26" s="159"/>
      <c r="E26" s="160"/>
      <c r="F26" s="161"/>
      <c r="G26" s="41">
        <f>SUM(G3:G25)</f>
        <v>0</v>
      </c>
      <c r="H26" s="152">
        <f t="shared" si="1"/>
        <v>0</v>
      </c>
      <c r="N26" s="152">
        <f>SUM(N3:N25)</f>
        <v>0</v>
      </c>
      <c r="O26" s="12">
        <f>SUM(M26:N26)</f>
        <v>0</v>
      </c>
    </row>
    <row r="27" spans="1:17" x14ac:dyDescent="0.3">
      <c r="A27" s="302" t="s">
        <v>171</v>
      </c>
      <c r="B27" s="303"/>
      <c r="C27" s="304"/>
      <c r="D27" s="50"/>
      <c r="E27" s="198" t="s">
        <v>44</v>
      </c>
      <c r="F27" s="199" t="s">
        <v>45</v>
      </c>
      <c r="G27" s="194"/>
      <c r="H27" s="152">
        <f>H33</f>
        <v>0</v>
      </c>
    </row>
    <row r="28" spans="1:17" x14ac:dyDescent="0.3">
      <c r="A28" s="195" t="s">
        <v>166</v>
      </c>
      <c r="B28" s="53"/>
      <c r="C28" s="36">
        <f>'Cennik enova365'!$B130</f>
        <v>239</v>
      </c>
      <c r="D28" s="36">
        <f>'Cennik enova365'!$C130</f>
        <v>287</v>
      </c>
      <c r="E28" s="37" t="s">
        <v>4</v>
      </c>
      <c r="F28" s="37" t="s">
        <v>4</v>
      </c>
      <c r="G28" s="38">
        <f>IF(AND(E3=0,E28="TAK"),"Dodaj Kadry",IF(AND(E28="TAK",F28="NIE"),C28,IF(AND(E28="TAK",F28="TAK"),D28,IF(AND(E28="NIE",F28="TAK"),"błąd",0))))</f>
        <v>0</v>
      </c>
      <c r="H28" s="152">
        <f t="shared" ref="H28:H33" si="3">IF(G28&gt;0,1,0)</f>
        <v>0</v>
      </c>
    </row>
    <row r="29" spans="1:17" x14ac:dyDescent="0.3">
      <c r="A29" s="195" t="s">
        <v>93</v>
      </c>
      <c r="B29" s="53"/>
      <c r="C29" s="36">
        <f>'Cennik enova365'!$B131</f>
        <v>239</v>
      </c>
      <c r="D29" s="36">
        <f>'Cennik enova365'!$C131</f>
        <v>287</v>
      </c>
      <c r="E29" s="37" t="s">
        <v>4</v>
      </c>
      <c r="F29" s="37" t="s">
        <v>4</v>
      </c>
      <c r="G29" s="38">
        <f>IF(AND(SUM(E4:E5)=0,E29="TAK"),"Dodaj Ksiegowość",IF(AND(E29="TAK",F29="NIE"),C29,IF(AND(E29="TAK",F29="TAK"),D29,IF(AND(E29="NIE",F29="TAK"),"błąd",0))))</f>
        <v>0</v>
      </c>
      <c r="H29" s="152">
        <f t="shared" si="3"/>
        <v>0</v>
      </c>
    </row>
    <row r="30" spans="1:17" x14ac:dyDescent="0.3">
      <c r="A30" s="195" t="s">
        <v>95</v>
      </c>
      <c r="B30" s="53"/>
      <c r="C30" s="36">
        <f>'Cennik enova365'!$B132</f>
        <v>239</v>
      </c>
      <c r="D30" s="36">
        <f>'Cennik enova365'!$C132</f>
        <v>287</v>
      </c>
      <c r="E30" s="37" t="s">
        <v>4</v>
      </c>
      <c r="F30" s="37" t="s">
        <v>4</v>
      </c>
      <c r="G30" s="38">
        <f>IF(AND(SUM(E9:E10)=0,E30="TAK"),"Dodaj Handel lub FV",IF(AND(E30="TAK",F30="NIE"),C30,IF(AND(E30="TAK",F30="TAK"),D30,IF(AND(E30="NIE",F30="TAK"),"błąd",0))))</f>
        <v>0</v>
      </c>
      <c r="H30" s="152">
        <f t="shared" si="3"/>
        <v>0</v>
      </c>
    </row>
    <row r="31" spans="1:17" x14ac:dyDescent="0.3">
      <c r="A31" s="195" t="s">
        <v>96</v>
      </c>
      <c r="B31" s="53"/>
      <c r="C31" s="36">
        <f>'Cennik enova365'!$B133</f>
        <v>239</v>
      </c>
      <c r="D31" s="36">
        <f>'Cennik enova365'!$C133</f>
        <v>287</v>
      </c>
      <c r="E31" s="37" t="s">
        <v>4</v>
      </c>
      <c r="F31" s="37" t="s">
        <v>4</v>
      </c>
      <c r="G31" s="38">
        <f>IF(AND(SUM(E13,E18)=0,E31="TAK"),"Dodaj CRM lub Proj",IF(AND(E31="TAK",F31="NIE"),C31,IF(AND(E31="TAK",F31="TAK"),D31,IF(AND(E31="NIE",F31="TAK"),"błąd",0))))</f>
        <v>0</v>
      </c>
      <c r="H31" s="152">
        <f t="shared" si="3"/>
        <v>0</v>
      </c>
    </row>
    <row r="32" spans="1:17" x14ac:dyDescent="0.3">
      <c r="A32" s="195" t="s">
        <v>97</v>
      </c>
      <c r="B32" s="53"/>
      <c r="C32" s="36">
        <f>'Cennik enova365'!$B134</f>
        <v>1666</v>
      </c>
      <c r="D32" s="36">
        <f>'Cennik enova365'!$C134</f>
        <v>1999</v>
      </c>
      <c r="E32" s="37" t="s">
        <v>4</v>
      </c>
      <c r="F32" s="37" t="s">
        <v>4</v>
      </c>
      <c r="G32" s="38">
        <f>IF(AND(SUM(G28:G31)&gt;0,E32="TAK"),"błąd",IF(AND(E32="TAK",F32="NIE"),C32,IF(AND(E32="TAK",F32="TAK"),D32,IF(AND(E32="NIE",F32="TAK"),"błąd",0))))</f>
        <v>0</v>
      </c>
      <c r="H32" s="152">
        <f t="shared" si="3"/>
        <v>0</v>
      </c>
    </row>
    <row r="33" spans="1:10" x14ac:dyDescent="0.3">
      <c r="A33" s="157" t="s">
        <v>99</v>
      </c>
      <c r="B33" s="197"/>
      <c r="C33" s="159"/>
      <c r="D33" s="159"/>
      <c r="E33" s="160"/>
      <c r="F33" s="161"/>
      <c r="G33" s="41">
        <f>SUM(G28:G32)</f>
        <v>0</v>
      </c>
      <c r="H33" s="152">
        <f t="shared" si="3"/>
        <v>0</v>
      </c>
    </row>
    <row r="34" spans="1:10" ht="48.6" customHeight="1" x14ac:dyDescent="0.3">
      <c r="A34" s="305" t="s">
        <v>172</v>
      </c>
      <c r="B34" s="291"/>
      <c r="C34" s="292"/>
      <c r="D34" s="296"/>
      <c r="E34" s="297"/>
      <c r="F34" s="297"/>
      <c r="G34" s="298"/>
      <c r="H34" s="152">
        <f>IF(SUM(H35:H59)&gt;0,1,0)</f>
        <v>0</v>
      </c>
    </row>
    <row r="35" spans="1:10" x14ac:dyDescent="0.3">
      <c r="A35" s="293" t="s">
        <v>106</v>
      </c>
      <c r="B35" s="294"/>
      <c r="C35" s="295"/>
      <c r="D35" s="36">
        <f>'Cennik enova365'!B51</f>
        <v>166</v>
      </c>
      <c r="E35" s="37" t="s">
        <v>4</v>
      </c>
      <c r="F35" s="55"/>
      <c r="G35" s="38">
        <f t="shared" ref="G35:G59" si="4">IF(SUM(E$3:E$25)=0,IF(E35="TAK",D35,0),IF(O$26=0,0,IF(E35="TAK",D35,0)))</f>
        <v>0</v>
      </c>
      <c r="H35" s="152">
        <f t="shared" ref="H35:H59" si="5">IF(E35="TAK",1,0)</f>
        <v>0</v>
      </c>
    </row>
    <row r="36" spans="1:10" x14ac:dyDescent="0.3">
      <c r="A36" s="293" t="s">
        <v>52</v>
      </c>
      <c r="B36" s="294"/>
      <c r="C36" s="295"/>
      <c r="D36" s="36">
        <f>'Cennik enova365'!B52</f>
        <v>166</v>
      </c>
      <c r="E36" s="37" t="s">
        <v>4</v>
      </c>
      <c r="F36" s="55"/>
      <c r="G36" s="38">
        <f t="shared" si="4"/>
        <v>0</v>
      </c>
      <c r="H36" s="152">
        <f t="shared" si="5"/>
        <v>0</v>
      </c>
    </row>
    <row r="37" spans="1:10" x14ac:dyDescent="0.3">
      <c r="A37" s="293" t="s">
        <v>107</v>
      </c>
      <c r="B37" s="294"/>
      <c r="C37" s="295"/>
      <c r="D37" s="36">
        <f>'Cennik enova365'!B53</f>
        <v>500</v>
      </c>
      <c r="E37" s="37" t="s">
        <v>4</v>
      </c>
      <c r="F37" s="55"/>
      <c r="G37" s="38">
        <f t="shared" si="4"/>
        <v>0</v>
      </c>
      <c r="H37" s="152">
        <f t="shared" si="5"/>
        <v>0</v>
      </c>
      <c r="J37" s="155"/>
    </row>
    <row r="38" spans="1:10" x14ac:dyDescent="0.3">
      <c r="A38" s="293" t="s">
        <v>108</v>
      </c>
      <c r="B38" s="294"/>
      <c r="C38" s="295"/>
      <c r="D38" s="36">
        <f>'Cennik enova365'!B54</f>
        <v>47</v>
      </c>
      <c r="E38" s="37" t="s">
        <v>4</v>
      </c>
      <c r="F38" s="55"/>
      <c r="G38" s="38">
        <f t="shared" si="4"/>
        <v>0</v>
      </c>
      <c r="H38" s="152">
        <f t="shared" si="5"/>
        <v>0</v>
      </c>
    </row>
    <row r="39" spans="1:10" x14ac:dyDescent="0.3">
      <c r="A39" s="293" t="s">
        <v>53</v>
      </c>
      <c r="B39" s="294"/>
      <c r="C39" s="295"/>
      <c r="D39" s="36">
        <f>'Cennik enova365'!B55</f>
        <v>133</v>
      </c>
      <c r="E39" s="37" t="s">
        <v>4</v>
      </c>
      <c r="F39" s="55"/>
      <c r="G39" s="38">
        <f t="shared" si="4"/>
        <v>0</v>
      </c>
      <c r="H39" s="152">
        <f t="shared" si="5"/>
        <v>0</v>
      </c>
    </row>
    <row r="40" spans="1:10" x14ac:dyDescent="0.3">
      <c r="A40" s="293" t="s">
        <v>109</v>
      </c>
      <c r="B40" s="294"/>
      <c r="C40" s="295"/>
      <c r="D40" s="36">
        <f>'Cennik enova365'!B56</f>
        <v>133</v>
      </c>
      <c r="E40" s="37" t="s">
        <v>4</v>
      </c>
      <c r="F40" s="55"/>
      <c r="G40" s="38">
        <f t="shared" si="4"/>
        <v>0</v>
      </c>
      <c r="H40" s="152">
        <f t="shared" si="5"/>
        <v>0</v>
      </c>
    </row>
    <row r="41" spans="1:10" x14ac:dyDescent="0.3">
      <c r="A41" s="293" t="s">
        <v>105</v>
      </c>
      <c r="B41" s="294"/>
      <c r="C41" s="295"/>
      <c r="D41" s="36">
        <f>'Cennik enova365'!B57</f>
        <v>99</v>
      </c>
      <c r="E41" s="37" t="s">
        <v>4</v>
      </c>
      <c r="F41" s="55"/>
      <c r="G41" s="38">
        <f t="shared" si="4"/>
        <v>0</v>
      </c>
      <c r="H41" s="152">
        <f t="shared" si="5"/>
        <v>0</v>
      </c>
    </row>
    <row r="42" spans="1:10" x14ac:dyDescent="0.3">
      <c r="A42" s="293" t="s">
        <v>199</v>
      </c>
      <c r="B42" s="294"/>
      <c r="C42" s="295"/>
      <c r="D42" s="36">
        <f>'Cennik enova365'!B58</f>
        <v>59</v>
      </c>
      <c r="E42" s="37" t="s">
        <v>4</v>
      </c>
      <c r="F42" s="55"/>
      <c r="G42" s="38">
        <f t="shared" si="4"/>
        <v>0</v>
      </c>
      <c r="H42" s="152">
        <f t="shared" si="5"/>
        <v>0</v>
      </c>
    </row>
    <row r="43" spans="1:10" ht="15.6" customHeight="1" x14ac:dyDescent="0.3">
      <c r="A43" s="293" t="s">
        <v>92</v>
      </c>
      <c r="B43" s="294"/>
      <c r="C43" s="295"/>
      <c r="D43" s="36">
        <f>'Cennik enova365'!B59</f>
        <v>166</v>
      </c>
      <c r="E43" s="37" t="s">
        <v>4</v>
      </c>
      <c r="F43" s="55"/>
      <c r="G43" s="38">
        <f t="shared" si="4"/>
        <v>0</v>
      </c>
      <c r="H43" s="152">
        <f t="shared" si="5"/>
        <v>0</v>
      </c>
    </row>
    <row r="44" spans="1:10" x14ac:dyDescent="0.3">
      <c r="A44" s="293" t="s">
        <v>47</v>
      </c>
      <c r="B44" s="294"/>
      <c r="C44" s="295"/>
      <c r="D44" s="36">
        <f>'Cennik enova365'!B60</f>
        <v>133</v>
      </c>
      <c r="E44" s="37" t="s">
        <v>4</v>
      </c>
      <c r="F44" s="55"/>
      <c r="G44" s="38">
        <f t="shared" si="4"/>
        <v>0</v>
      </c>
      <c r="H44" s="152">
        <f t="shared" si="5"/>
        <v>0</v>
      </c>
    </row>
    <row r="45" spans="1:10" x14ac:dyDescent="0.3">
      <c r="A45" s="293" t="s">
        <v>48</v>
      </c>
      <c r="B45" s="294"/>
      <c r="C45" s="295"/>
      <c r="D45" s="36">
        <f>'Cennik enova365'!B61</f>
        <v>146</v>
      </c>
      <c r="E45" s="37" t="s">
        <v>4</v>
      </c>
      <c r="F45" s="55"/>
      <c r="G45" s="38">
        <f t="shared" si="4"/>
        <v>0</v>
      </c>
      <c r="H45" s="152">
        <f t="shared" si="5"/>
        <v>0</v>
      </c>
    </row>
    <row r="46" spans="1:10" x14ac:dyDescent="0.3">
      <c r="A46" s="293" t="s">
        <v>49</v>
      </c>
      <c r="B46" s="294"/>
      <c r="C46" s="295"/>
      <c r="D46" s="36">
        <f>'Cennik enova365'!B62</f>
        <v>166</v>
      </c>
      <c r="E46" s="37" t="s">
        <v>4</v>
      </c>
      <c r="F46" s="55"/>
      <c r="G46" s="38">
        <f t="shared" si="4"/>
        <v>0</v>
      </c>
      <c r="H46" s="152">
        <f t="shared" si="5"/>
        <v>0</v>
      </c>
    </row>
    <row r="47" spans="1:10" x14ac:dyDescent="0.3">
      <c r="A47" s="293" t="s">
        <v>50</v>
      </c>
      <c r="B47" s="294"/>
      <c r="C47" s="295"/>
      <c r="D47" s="36">
        <f>'Cennik enova365'!B63</f>
        <v>99</v>
      </c>
      <c r="E47" s="37" t="s">
        <v>4</v>
      </c>
      <c r="F47" s="55"/>
      <c r="G47" s="38">
        <f t="shared" si="4"/>
        <v>0</v>
      </c>
      <c r="H47" s="152">
        <f t="shared" si="5"/>
        <v>0</v>
      </c>
    </row>
    <row r="48" spans="1:10" x14ac:dyDescent="0.3">
      <c r="A48" s="293" t="s">
        <v>51</v>
      </c>
      <c r="B48" s="294"/>
      <c r="C48" s="295"/>
      <c r="D48" s="36">
        <f>'Cennik enova365'!B64</f>
        <v>99</v>
      </c>
      <c r="E48" s="37" t="s">
        <v>4</v>
      </c>
      <c r="F48" s="55"/>
      <c r="G48" s="38">
        <f t="shared" si="4"/>
        <v>0</v>
      </c>
      <c r="H48" s="152">
        <f t="shared" si="5"/>
        <v>0</v>
      </c>
    </row>
    <row r="49" spans="1:9" x14ac:dyDescent="0.3">
      <c r="A49" s="293" t="s">
        <v>54</v>
      </c>
      <c r="B49" s="294"/>
      <c r="C49" s="295"/>
      <c r="D49" s="36">
        <f>'Cennik enova365'!B65</f>
        <v>46</v>
      </c>
      <c r="E49" s="37" t="s">
        <v>4</v>
      </c>
      <c r="F49" s="55"/>
      <c r="G49" s="38">
        <f t="shared" si="4"/>
        <v>0</v>
      </c>
      <c r="H49" s="152">
        <f t="shared" si="5"/>
        <v>0</v>
      </c>
    </row>
    <row r="50" spans="1:9" x14ac:dyDescent="0.3">
      <c r="A50" s="293" t="s">
        <v>59</v>
      </c>
      <c r="B50" s="294"/>
      <c r="C50" s="295"/>
      <c r="D50" s="36">
        <f>'Cennik enova365'!B66</f>
        <v>48</v>
      </c>
      <c r="E50" s="37" t="s">
        <v>4</v>
      </c>
      <c r="F50" s="55"/>
      <c r="G50" s="38">
        <f t="shared" si="4"/>
        <v>0</v>
      </c>
      <c r="H50" s="152">
        <f t="shared" si="5"/>
        <v>0</v>
      </c>
    </row>
    <row r="51" spans="1:9" x14ac:dyDescent="0.3">
      <c r="A51" s="293" t="s">
        <v>110</v>
      </c>
      <c r="B51" s="294"/>
      <c r="C51" s="295"/>
      <c r="D51" s="36">
        <f>'Cennik enova365'!B67</f>
        <v>13</v>
      </c>
      <c r="E51" s="37" t="s">
        <v>4</v>
      </c>
      <c r="F51" s="55"/>
      <c r="G51" s="38">
        <f t="shared" si="4"/>
        <v>0</v>
      </c>
      <c r="H51" s="152">
        <f t="shared" si="5"/>
        <v>0</v>
      </c>
    </row>
    <row r="52" spans="1:9" x14ac:dyDescent="0.3">
      <c r="A52" s="293" t="s">
        <v>58</v>
      </c>
      <c r="B52" s="294"/>
      <c r="C52" s="295"/>
      <c r="D52" s="36">
        <f>'Cennik enova365'!B68</f>
        <v>133</v>
      </c>
      <c r="E52" s="37" t="s">
        <v>4</v>
      </c>
      <c r="F52" s="55"/>
      <c r="G52" s="38">
        <f t="shared" si="4"/>
        <v>0</v>
      </c>
      <c r="H52" s="152">
        <f t="shared" si="5"/>
        <v>0</v>
      </c>
    </row>
    <row r="53" spans="1:9" x14ac:dyDescent="0.3">
      <c r="A53" s="293" t="s">
        <v>167</v>
      </c>
      <c r="B53" s="294"/>
      <c r="C53" s="295"/>
      <c r="D53" s="36">
        <f>'Cennik enova365'!B69</f>
        <v>133</v>
      </c>
      <c r="E53" s="37" t="s">
        <v>4</v>
      </c>
      <c r="F53" s="55"/>
      <c r="G53" s="38">
        <f t="shared" si="4"/>
        <v>0</v>
      </c>
      <c r="H53" s="152">
        <f t="shared" si="5"/>
        <v>0</v>
      </c>
    </row>
    <row r="54" spans="1:9" x14ac:dyDescent="0.3">
      <c r="A54" s="293" t="s">
        <v>103</v>
      </c>
      <c r="B54" s="294"/>
      <c r="C54" s="295"/>
      <c r="D54" s="36">
        <f>'Cennik enova365'!B70</f>
        <v>332</v>
      </c>
      <c r="E54" s="37" t="s">
        <v>4</v>
      </c>
      <c r="F54" s="55"/>
      <c r="G54" s="38">
        <f t="shared" si="4"/>
        <v>0</v>
      </c>
      <c r="H54" s="152">
        <f t="shared" si="5"/>
        <v>0</v>
      </c>
    </row>
    <row r="55" spans="1:9" x14ac:dyDescent="0.3">
      <c r="A55" s="293" t="s">
        <v>200</v>
      </c>
      <c r="B55" s="294"/>
      <c r="C55" s="295"/>
      <c r="D55" s="36">
        <f>'Cennik enova365'!B71</f>
        <v>99</v>
      </c>
      <c r="E55" s="37" t="s">
        <v>4</v>
      </c>
      <c r="F55" s="55"/>
      <c r="G55" s="38">
        <f t="shared" si="4"/>
        <v>0</v>
      </c>
      <c r="H55" s="152">
        <f t="shared" si="5"/>
        <v>0</v>
      </c>
    </row>
    <row r="56" spans="1:9" x14ac:dyDescent="0.3">
      <c r="A56" s="293" t="s">
        <v>56</v>
      </c>
      <c r="B56" s="294"/>
      <c r="C56" s="295"/>
      <c r="D56" s="36">
        <f>'Cennik enova365'!B72</f>
        <v>59</v>
      </c>
      <c r="E56" s="37" t="s">
        <v>4</v>
      </c>
      <c r="F56" s="55"/>
      <c r="G56" s="38">
        <f t="shared" si="4"/>
        <v>0</v>
      </c>
      <c r="H56" s="152">
        <f t="shared" si="5"/>
        <v>0</v>
      </c>
    </row>
    <row r="57" spans="1:9" x14ac:dyDescent="0.3">
      <c r="A57" s="293" t="s">
        <v>57</v>
      </c>
      <c r="B57" s="294"/>
      <c r="C57" s="295"/>
      <c r="D57" s="36">
        <f>'Cennik enova365'!B73</f>
        <v>59</v>
      </c>
      <c r="E57" s="37" t="s">
        <v>4</v>
      </c>
      <c r="F57" s="55"/>
      <c r="G57" s="38">
        <f t="shared" si="4"/>
        <v>0</v>
      </c>
      <c r="H57" s="152">
        <f t="shared" si="5"/>
        <v>0</v>
      </c>
    </row>
    <row r="58" spans="1:9" x14ac:dyDescent="0.3">
      <c r="A58" s="293" t="s">
        <v>75</v>
      </c>
      <c r="B58" s="294"/>
      <c r="C58" s="295"/>
      <c r="D58" s="36">
        <f>'Cennik enova365'!B74</f>
        <v>133</v>
      </c>
      <c r="E58" s="37" t="s">
        <v>4</v>
      </c>
      <c r="F58" s="55"/>
      <c r="G58" s="38">
        <f t="shared" si="4"/>
        <v>0</v>
      </c>
      <c r="H58" s="152">
        <f t="shared" si="5"/>
        <v>0</v>
      </c>
    </row>
    <row r="59" spans="1:9" x14ac:dyDescent="0.3">
      <c r="A59" s="293" t="s">
        <v>60</v>
      </c>
      <c r="B59" s="294"/>
      <c r="C59" s="295"/>
      <c r="D59" s="36">
        <f>'Cennik enova365'!B75</f>
        <v>99</v>
      </c>
      <c r="E59" s="37" t="s">
        <v>4</v>
      </c>
      <c r="F59" s="55"/>
      <c r="G59" s="38">
        <f t="shared" si="4"/>
        <v>0</v>
      </c>
      <c r="H59" s="152">
        <f t="shared" si="5"/>
        <v>0</v>
      </c>
    </row>
    <row r="60" spans="1:9" x14ac:dyDescent="0.3">
      <c r="A60" s="45" t="s">
        <v>16</v>
      </c>
      <c r="B60" s="46"/>
      <c r="C60" s="47"/>
      <c r="D60" s="47"/>
      <c r="E60" s="48"/>
      <c r="F60" s="49"/>
      <c r="G60" s="41">
        <f>SUM(G35:G59)</f>
        <v>0</v>
      </c>
      <c r="H60" s="152">
        <f>H34</f>
        <v>0</v>
      </c>
      <c r="I60" s="152" t="s">
        <v>29</v>
      </c>
    </row>
    <row r="61" spans="1:9" x14ac:dyDescent="0.3">
      <c r="A61" s="290" t="s">
        <v>36</v>
      </c>
      <c r="B61" s="291"/>
      <c r="C61" s="292"/>
      <c r="D61" s="50"/>
      <c r="E61" s="42"/>
      <c r="F61" s="51"/>
      <c r="G61" s="43"/>
      <c r="H61" s="152">
        <f>IF(G65&gt;0,1,0)</f>
        <v>0</v>
      </c>
    </row>
    <row r="62" spans="1:9" x14ac:dyDescent="0.3">
      <c r="A62" s="52"/>
      <c r="B62" s="53"/>
      <c r="C62" s="40" t="s">
        <v>26</v>
      </c>
      <c r="D62" s="40"/>
      <c r="E62" s="54" t="s">
        <v>24</v>
      </c>
      <c r="F62" s="55"/>
      <c r="G62" s="38"/>
      <c r="H62" s="152">
        <f>IF(G65&gt;0,1,0)</f>
        <v>0</v>
      </c>
    </row>
    <row r="63" spans="1:9" x14ac:dyDescent="0.3">
      <c r="A63" s="56" t="s">
        <v>22</v>
      </c>
      <c r="B63" s="37" t="s">
        <v>4</v>
      </c>
      <c r="C63" s="36">
        <f>'Cennik enova365'!B79</f>
        <v>24</v>
      </c>
      <c r="D63" s="36"/>
      <c r="E63" s="37">
        <v>1</v>
      </c>
      <c r="F63" s="55"/>
      <c r="G63" s="38">
        <f>IF(SUM(E$3:E$25)=0,IF(B63="TAK",C63*E63,0),IF(O$26=0,0,IF(B63="TAK",C63*E63,0)))</f>
        <v>0</v>
      </c>
      <c r="H63" s="152">
        <f>IF(G63&gt;0,1,0)</f>
        <v>0</v>
      </c>
    </row>
    <row r="64" spans="1:9" x14ac:dyDescent="0.3">
      <c r="A64" s="56" t="s">
        <v>23</v>
      </c>
      <c r="B64" s="37" t="s">
        <v>4</v>
      </c>
      <c r="C64" s="36">
        <f>'Cennik enova365'!B80</f>
        <v>48</v>
      </c>
      <c r="D64" s="36"/>
      <c r="E64" s="37">
        <v>1</v>
      </c>
      <c r="F64" s="55"/>
      <c r="G64" s="38">
        <f>IF(AND(B64="TAK",B63="tak"),(IF(E63&lt;5,"1..5 musi być 5",IF(SUM(E$3:E$25)=0,IF(B64="TAK",C64*E64,0),IF(O$26=0,0,IF(B64="TAK",C64*E64,0))))),0)</f>
        <v>0</v>
      </c>
      <c r="H64" s="152">
        <f>IF(G64&gt;0,1,0)</f>
        <v>0</v>
      </c>
    </row>
    <row r="65" spans="1:10" x14ac:dyDescent="0.3">
      <c r="A65" s="45" t="s">
        <v>17</v>
      </c>
      <c r="B65" s="57"/>
      <c r="C65" s="58"/>
      <c r="D65" s="58"/>
      <c r="E65" s="57"/>
      <c r="F65" s="59"/>
      <c r="G65" s="60">
        <f>SUM(G63:G64)</f>
        <v>0</v>
      </c>
      <c r="H65" s="152">
        <f>IF(G65&gt;0,1,0)</f>
        <v>0</v>
      </c>
    </row>
    <row r="66" spans="1:10" x14ac:dyDescent="0.3">
      <c r="A66" s="290" t="s">
        <v>174</v>
      </c>
      <c r="B66" s="291"/>
      <c r="C66" s="292"/>
      <c r="D66" s="50"/>
      <c r="E66" s="140" t="s">
        <v>175</v>
      </c>
      <c r="F66" s="163"/>
      <c r="G66" s="43"/>
      <c r="H66" s="152">
        <f>IF(G72&gt;0,1,0)</f>
        <v>0</v>
      </c>
      <c r="J66" s="165"/>
    </row>
    <row r="67" spans="1:10" x14ac:dyDescent="0.3">
      <c r="A67" s="56" t="s">
        <v>62</v>
      </c>
      <c r="B67" s="44" t="s">
        <v>4</v>
      </c>
      <c r="C67" s="36">
        <f>IF(E67="do 50 kont",'Cennik enova365'!B84,IF(E67="do 100 kont",'Cennik enova365'!B85,IF(E67="do 200 kont",'Cennik enova365'!B86,IF(E67="do 500 kont",'Cennik enova365'!B87,IF(E67="do 1000 kont",'Cennik enova365'!B88,IF(E67="powyżej 1000 kont",'Cennik enova365'!B89))))))</f>
        <v>199</v>
      </c>
      <c r="D67" s="36"/>
      <c r="E67" s="37" t="s">
        <v>186</v>
      </c>
      <c r="F67" s="55"/>
      <c r="G67" s="38">
        <f>IF(B67="TAK",C67,0)</f>
        <v>0</v>
      </c>
      <c r="H67" s="152">
        <f t="shared" ref="H67:H85" si="6">IF(G67&gt;0,1,0)</f>
        <v>0</v>
      </c>
      <c r="J67" s="165"/>
    </row>
    <row r="68" spans="1:10" x14ac:dyDescent="0.3">
      <c r="A68" s="56" t="s">
        <v>30</v>
      </c>
      <c r="B68" s="44" t="s">
        <v>4</v>
      </c>
      <c r="C68" s="36">
        <f>'Cennik enova365'!B91</f>
        <v>15</v>
      </c>
      <c r="D68" s="36"/>
      <c r="E68" s="166">
        <v>0</v>
      </c>
      <c r="F68" s="55"/>
      <c r="G68" s="38">
        <f>IF(B68="TAK",C68*E68,0)</f>
        <v>0</v>
      </c>
      <c r="H68" s="152">
        <f t="shared" si="6"/>
        <v>0</v>
      </c>
    </row>
    <row r="69" spans="1:10" x14ac:dyDescent="0.3">
      <c r="A69" s="56" t="s">
        <v>76</v>
      </c>
      <c r="B69" s="44" t="s">
        <v>4</v>
      </c>
      <c r="C69" s="36">
        <f>IF(E69="do 50 kont",'Cennik enova365'!B100,IF(E69="do 100 kont",'Cennik enova365'!B101,IF(E69="do 200 kont",'Cennik enova365'!B102,IF(E69="do 500 kont",'Cennik enova365'!B103,IF(E69="do 1000 kont",'Cennik enova365'!B104,IF(E69="powyżej 1000 kont",'Cennik enova365'!B105))))))</f>
        <v>166</v>
      </c>
      <c r="D69" s="36"/>
      <c r="E69" s="37" t="s">
        <v>186</v>
      </c>
      <c r="F69" s="55"/>
      <c r="G69" s="38">
        <f>IF(B69="TAK",C69,0)</f>
        <v>0</v>
      </c>
      <c r="H69" s="152">
        <f t="shared" si="6"/>
        <v>0</v>
      </c>
    </row>
    <row r="70" spans="1:10" x14ac:dyDescent="0.3">
      <c r="A70" s="56" t="s">
        <v>77</v>
      </c>
      <c r="B70" s="44" t="s">
        <v>4</v>
      </c>
      <c r="C70" s="36">
        <f>IF(E70="do 50 kont",'Cennik enova365'!B108,IF(E70="do 100 kont",'Cennik enova365'!B109,IF(E70="do 200 kont",'Cennik enova365'!B110,IF(E70="do 500 kont",'Cennik enova365'!B111,IF(E70="do 1000 kont",'Cennik enova365'!B112,IF(E70="powyżej 1000 kont",'Cennik enova365'!B113))))))</f>
        <v>99</v>
      </c>
      <c r="D70" s="36"/>
      <c r="E70" s="37" t="s">
        <v>186</v>
      </c>
      <c r="F70" s="55"/>
      <c r="G70" s="38">
        <f>IF(B70="TAK",C70,0)</f>
        <v>0</v>
      </c>
      <c r="H70" s="152">
        <f t="shared" si="6"/>
        <v>0</v>
      </c>
      <c r="J70" s="153"/>
    </row>
    <row r="71" spans="1:10" x14ac:dyDescent="0.3">
      <c r="A71" s="56" t="s">
        <v>104</v>
      </c>
      <c r="B71" s="44" t="s">
        <v>4</v>
      </c>
      <c r="C71" s="36">
        <f>'Cennik enova365'!B92</f>
        <v>330</v>
      </c>
      <c r="D71" s="36"/>
      <c r="E71" s="36"/>
      <c r="F71" s="55"/>
      <c r="G71" s="38">
        <f>IF(B71="TAK",C71,0)</f>
        <v>0</v>
      </c>
      <c r="H71" s="152">
        <f t="shared" si="6"/>
        <v>0</v>
      </c>
      <c r="J71" s="270"/>
    </row>
    <row r="72" spans="1:10" x14ac:dyDescent="0.3">
      <c r="A72" s="154" t="s">
        <v>38</v>
      </c>
      <c r="B72" s="57"/>
      <c r="C72" s="58"/>
      <c r="D72" s="58"/>
      <c r="E72" s="57"/>
      <c r="F72" s="59"/>
      <c r="G72" s="60">
        <f>SUM(G67:G71)</f>
        <v>0</v>
      </c>
      <c r="H72" s="152">
        <f t="shared" si="6"/>
        <v>0</v>
      </c>
    </row>
    <row r="73" spans="1:10" x14ac:dyDescent="0.3">
      <c r="A73" s="62" t="s">
        <v>73</v>
      </c>
      <c r="B73" s="63"/>
      <c r="C73" s="63"/>
      <c r="D73" s="63"/>
      <c r="E73" s="63"/>
      <c r="F73" s="64"/>
      <c r="G73" s="65">
        <f>G26+G33+G60+G65+G72</f>
        <v>0</v>
      </c>
      <c r="H73" s="152">
        <f t="shared" si="6"/>
        <v>0</v>
      </c>
      <c r="J73" s="271"/>
    </row>
    <row r="74" spans="1:10" x14ac:dyDescent="0.3">
      <c r="A74" s="66"/>
      <c r="B74" s="37" t="s">
        <v>18</v>
      </c>
      <c r="C74" s="142">
        <v>0</v>
      </c>
      <c r="D74" s="143"/>
      <c r="E74" s="37" t="s">
        <v>4</v>
      </c>
      <c r="F74" s="144"/>
      <c r="G74" s="145">
        <f>IF(E74="TAK",(G73-#REF!)*C74,0)</f>
        <v>0</v>
      </c>
      <c r="H74" s="152">
        <f t="shared" si="6"/>
        <v>0</v>
      </c>
    </row>
    <row r="75" spans="1:10" x14ac:dyDescent="0.3">
      <c r="A75" s="67"/>
      <c r="B75" s="265" t="s">
        <v>19</v>
      </c>
      <c r="C75" s="266"/>
      <c r="D75" s="266"/>
      <c r="E75" s="265"/>
      <c r="F75" s="265"/>
      <c r="G75" s="267">
        <f>G74</f>
        <v>0</v>
      </c>
      <c r="H75" s="152">
        <f t="shared" si="6"/>
        <v>0</v>
      </c>
      <c r="J75" s="271"/>
    </row>
    <row r="76" spans="1:10" x14ac:dyDescent="0.3">
      <c r="A76" s="290" t="s">
        <v>176</v>
      </c>
      <c r="B76" s="291"/>
      <c r="C76" s="292"/>
      <c r="D76" s="50"/>
      <c r="E76" s="162" t="s">
        <v>35</v>
      </c>
      <c r="F76" s="163"/>
      <c r="G76" s="43"/>
      <c r="H76" s="152">
        <f t="shared" si="6"/>
        <v>0</v>
      </c>
      <c r="J76" s="271"/>
    </row>
    <row r="77" spans="1:10" ht="35.4" customHeight="1" x14ac:dyDescent="0.3">
      <c r="A77" s="56" t="s">
        <v>146</v>
      </c>
      <c r="B77" s="261" t="s">
        <v>4</v>
      </c>
      <c r="C77" s="264">
        <f>IF(B77="NA WŁASNOŚĆ 
1 stacja weryfikacji",VLOOKUP(E77,'Cennik enova365'!A144:E148,2,FALSE),IF(B77="ROCZNA 
1 stacja weryfikacji",VLOOKUP(E77,'Cennik enova365'!A144:E148,4,FALSE),IF(B77="NA WŁASNOŚĆ 
3 stacje weryfikacji",VLOOKUP(E77,'Cennik enova365'!A144:E148,3,FALSE),IF(B77="ROCZNA 
3 stacje weryfikacji",VLOOKUP(E77,'Cennik enova365'!A144:E148,5,FALSE),0))))</f>
        <v>0</v>
      </c>
      <c r="D77" s="36"/>
      <c r="E77" s="166" t="s">
        <v>154</v>
      </c>
      <c r="F77" s="55"/>
      <c r="G77" s="268">
        <f>C77</f>
        <v>0</v>
      </c>
      <c r="H77" s="152">
        <f t="shared" si="6"/>
        <v>0</v>
      </c>
      <c r="J77" s="285" t="s">
        <v>180</v>
      </c>
    </row>
    <row r="78" spans="1:10" ht="30.6" customHeight="1" x14ac:dyDescent="0.3">
      <c r="A78" s="56" t="s">
        <v>147</v>
      </c>
      <c r="B78" s="261" t="str">
        <f>B77</f>
        <v>NIE</v>
      </c>
      <c r="C78" s="264">
        <f>IF(B78="NA WŁASNOŚĆ 
1 stacja weryfikacji",VLOOKUP(E78,'Cennik enova365'!A158:E162,2,FALSE),IF(B78="ROCZNA 
1 stacja weryfikacji",VLOOKUP(E78,'Cennik enova365'!A158:E162,4,FALSE),IF(B78="NA WŁASNOŚĆ 
3 stacje weryfikacji",VLOOKUP(E78,'Cennik enova365'!A158:E162,3,FALSE),IF(B78="ROCZNA 
3 stacje weryfikacji",VLOOKUP(E78,'Cennik enova365'!A158:E162,5,FALSE),0))))</f>
        <v>0</v>
      </c>
      <c r="D78" s="36"/>
      <c r="E78" s="166" t="str">
        <f>E77</f>
        <v>5 000 stron rocznie</v>
      </c>
      <c r="F78" s="55"/>
      <c r="G78" s="268">
        <f>C78</f>
        <v>0</v>
      </c>
      <c r="H78" s="152">
        <f t="shared" si="6"/>
        <v>0</v>
      </c>
      <c r="J78" s="285"/>
    </row>
    <row r="79" spans="1:10" x14ac:dyDescent="0.3">
      <c r="A79" s="259" t="s">
        <v>153</v>
      </c>
      <c r="B79" s="57"/>
      <c r="C79" s="58"/>
      <c r="D79" s="58"/>
      <c r="E79" s="57"/>
      <c r="F79" s="59"/>
      <c r="G79" s="60">
        <f>SUM(G77:G78)</f>
        <v>0</v>
      </c>
      <c r="H79" s="152">
        <f t="shared" si="6"/>
        <v>0</v>
      </c>
    </row>
    <row r="80" spans="1:10" x14ac:dyDescent="0.3">
      <c r="A80" s="97" t="s">
        <v>111</v>
      </c>
      <c r="B80" s="167"/>
      <c r="C80" s="167"/>
      <c r="D80" s="167"/>
      <c r="E80" s="167"/>
      <c r="F80" s="168"/>
      <c r="G80" s="169">
        <f>(G73-G75)+G79</f>
        <v>0</v>
      </c>
      <c r="H80" s="170">
        <f t="shared" si="6"/>
        <v>0</v>
      </c>
    </row>
    <row r="81" spans="1:8" s="12" customFormat="1" x14ac:dyDescent="0.3">
      <c r="A81" s="98" t="s">
        <v>112</v>
      </c>
      <c r="B81" s="99"/>
      <c r="C81" s="99"/>
      <c r="D81" s="99"/>
      <c r="E81" s="99"/>
      <c r="F81" s="100"/>
      <c r="G81" s="101">
        <f>G80*1.23</f>
        <v>0</v>
      </c>
      <c r="H81" s="170">
        <f t="shared" si="6"/>
        <v>0</v>
      </c>
    </row>
    <row r="82" spans="1:8" s="12" customFormat="1" x14ac:dyDescent="0.3">
      <c r="A82" s="243" t="s">
        <v>86</v>
      </c>
      <c r="B82" s="243"/>
      <c r="C82" s="243"/>
      <c r="D82" s="34"/>
      <c r="E82" s="34"/>
      <c r="F82" s="34"/>
      <c r="G82" s="34"/>
      <c r="H82" s="170">
        <f t="shared" si="6"/>
        <v>0</v>
      </c>
    </row>
    <row r="83" spans="1:8" s="12" customFormat="1" x14ac:dyDescent="0.3">
      <c r="A83" s="83" t="s">
        <v>87</v>
      </c>
      <c r="B83" s="83"/>
      <c r="C83" s="83"/>
      <c r="D83" s="183"/>
      <c r="E83" s="183"/>
      <c r="F83" s="183"/>
      <c r="G83" s="183"/>
      <c r="H83" s="170">
        <f t="shared" si="6"/>
        <v>0</v>
      </c>
    </row>
    <row r="84" spans="1:8" s="12" customFormat="1" x14ac:dyDescent="0.3">
      <c r="A84" s="83" t="s">
        <v>164</v>
      </c>
      <c r="B84" s="83"/>
      <c r="C84" s="83"/>
      <c r="D84" s="183"/>
      <c r="F84" s="183"/>
      <c r="G84" s="184"/>
      <c r="H84" s="170">
        <f t="shared" si="6"/>
        <v>0</v>
      </c>
    </row>
    <row r="85" spans="1:8" s="12" customFormat="1" x14ac:dyDescent="0.3">
      <c r="A85" s="1"/>
      <c r="B85" s="1"/>
      <c r="C85" s="1"/>
      <c r="H85" s="170">
        <f t="shared" si="6"/>
        <v>0</v>
      </c>
    </row>
    <row r="86" spans="1:8" s="12" customFormat="1" ht="14.4" x14ac:dyDescent="0.3">
      <c r="A86" s="1"/>
      <c r="G86" s="173"/>
    </row>
    <row r="87" spans="1:8" s="12" customFormat="1" ht="14.4" x14ac:dyDescent="0.3">
      <c r="A87" s="183"/>
      <c r="E87" s="183"/>
      <c r="G87" s="173"/>
    </row>
    <row r="88" spans="1:8" s="12" customFormat="1" ht="14.4" x14ac:dyDescent="0.3">
      <c r="A88" s="183"/>
    </row>
    <row r="89" spans="1:8" s="12" customFormat="1" ht="14.4" x14ac:dyDescent="0.3">
      <c r="G89" s="173"/>
    </row>
    <row r="90" spans="1:8" s="12" customFormat="1" x14ac:dyDescent="0.3">
      <c r="E90" s="189"/>
      <c r="G90" s="182"/>
    </row>
    <row r="91" spans="1:8" s="12" customFormat="1" ht="14.4" x14ac:dyDescent="0.3"/>
    <row r="92" spans="1:8" s="12" customFormat="1" ht="14.4" x14ac:dyDescent="0.3"/>
    <row r="93" spans="1:8" s="12" customFormat="1" ht="14.4" x14ac:dyDescent="0.3"/>
    <row r="94" spans="1:8" s="12" customFormat="1" ht="14.4" x14ac:dyDescent="0.3"/>
    <row r="95" spans="1:8" s="12" customFormat="1" ht="14.4" x14ac:dyDescent="0.3"/>
    <row r="96" spans="1:8" s="12" customFormat="1" ht="14.4" x14ac:dyDescent="0.3"/>
    <row r="97" spans="4:12" s="12" customFormat="1" ht="14.4" x14ac:dyDescent="0.3"/>
    <row r="98" spans="4:12" s="12" customFormat="1" ht="14.4" x14ac:dyDescent="0.3"/>
    <row r="99" spans="4:12" s="12" customFormat="1" ht="14.4" x14ac:dyDescent="0.3"/>
    <row r="100" spans="4:12" s="12" customFormat="1" ht="14.4" x14ac:dyDescent="0.3"/>
    <row r="101" spans="4:12" s="12" customFormat="1" ht="14.4" x14ac:dyDescent="0.3"/>
    <row r="102" spans="4:12" s="12" customFormat="1" ht="14.4" x14ac:dyDescent="0.3"/>
    <row r="103" spans="4:12" s="12" customFormat="1" ht="14.4" x14ac:dyDescent="0.3"/>
    <row r="104" spans="4:12" x14ac:dyDescent="0.3">
      <c r="D104" s="12"/>
      <c r="E104" s="12"/>
      <c r="F104" s="12"/>
      <c r="G104" s="12"/>
      <c r="H104" s="12"/>
    </row>
    <row r="105" spans="4:12" x14ac:dyDescent="0.3">
      <c r="D105" s="185"/>
      <c r="E105" s="185"/>
      <c r="F105" s="185"/>
      <c r="G105" s="185"/>
      <c r="H105" s="34"/>
    </row>
    <row r="106" spans="4:12" x14ac:dyDescent="0.3">
      <c r="D106" s="185"/>
      <c r="E106" s="185"/>
      <c r="F106" s="185"/>
      <c r="G106" s="185"/>
      <c r="H106" s="34"/>
    </row>
    <row r="107" spans="4:12" x14ac:dyDescent="0.3">
      <c r="D107" s="185"/>
      <c r="E107" s="185"/>
      <c r="F107" s="185"/>
      <c r="G107" s="186"/>
      <c r="H107" s="34"/>
      <c r="I107" s="164"/>
      <c r="J107" s="152"/>
      <c r="K107" s="152"/>
      <c r="L107" s="152"/>
    </row>
    <row r="108" spans="4:12" x14ac:dyDescent="0.3">
      <c r="D108" s="185"/>
      <c r="E108" s="185"/>
      <c r="F108" s="187"/>
      <c r="G108" s="186"/>
      <c r="H108" s="34"/>
      <c r="I108" s="164"/>
      <c r="J108" s="152"/>
      <c r="K108" s="152"/>
      <c r="L108" s="152"/>
    </row>
    <row r="109" spans="4:12" x14ac:dyDescent="0.3">
      <c r="D109" s="185"/>
      <c r="E109" s="185"/>
      <c r="F109" s="187"/>
      <c r="G109" s="186"/>
      <c r="H109" s="34"/>
      <c r="I109" s="164"/>
      <c r="J109" s="152"/>
      <c r="K109" s="152"/>
      <c r="L109" s="152"/>
    </row>
    <row r="110" spans="4:12" x14ac:dyDescent="0.3">
      <c r="D110" s="185"/>
      <c r="E110" s="185"/>
      <c r="F110" s="185"/>
      <c r="G110" s="186"/>
      <c r="H110" s="34"/>
      <c r="I110" s="164"/>
      <c r="J110" s="152"/>
      <c r="K110" s="152"/>
      <c r="L110" s="152"/>
    </row>
    <row r="111" spans="4:12" x14ac:dyDescent="0.3">
      <c r="D111" s="185"/>
      <c r="E111" s="185"/>
      <c r="F111" s="185"/>
      <c r="G111" s="186"/>
      <c r="H111" s="34"/>
    </row>
    <row r="112" spans="4:12" x14ac:dyDescent="0.3">
      <c r="D112" s="185"/>
      <c r="E112" s="185"/>
      <c r="F112" s="185"/>
      <c r="G112" s="188"/>
      <c r="H112" s="34"/>
    </row>
    <row r="113" spans="4:8" x14ac:dyDescent="0.3">
      <c r="D113" s="189"/>
      <c r="E113" s="185"/>
      <c r="F113" s="185"/>
      <c r="G113" s="185"/>
      <c r="H113" s="34"/>
    </row>
    <row r="114" spans="4:8" x14ac:dyDescent="0.3">
      <c r="D114" s="185"/>
      <c r="E114" s="185"/>
      <c r="F114" s="185"/>
      <c r="G114" s="189"/>
      <c r="H114" s="34"/>
    </row>
    <row r="115" spans="4:8" x14ac:dyDescent="0.3">
      <c r="D115" s="185"/>
      <c r="E115" s="185"/>
      <c r="F115" s="185"/>
      <c r="G115" s="185"/>
      <c r="H115" s="34"/>
    </row>
    <row r="116" spans="4:8" x14ac:dyDescent="0.3">
      <c r="D116" s="185"/>
      <c r="E116" s="185"/>
      <c r="F116" s="185"/>
      <c r="G116" s="190"/>
      <c r="H116" s="34"/>
    </row>
    <row r="117" spans="4:8" x14ac:dyDescent="0.3">
      <c r="D117" s="185"/>
      <c r="E117" s="185"/>
      <c r="F117" s="185"/>
      <c r="G117" s="191"/>
      <c r="H117" s="34"/>
    </row>
    <row r="118" spans="4:8" x14ac:dyDescent="0.3">
      <c r="D118" s="185"/>
      <c r="E118" s="185"/>
      <c r="F118" s="185"/>
      <c r="G118" s="185"/>
      <c r="H118" s="34"/>
    </row>
    <row r="119" spans="4:8" x14ac:dyDescent="0.3">
      <c r="D119" s="185"/>
      <c r="E119" s="185"/>
      <c r="F119" s="185"/>
      <c r="G119" s="188"/>
      <c r="H119" s="34"/>
    </row>
    <row r="120" spans="4:8" x14ac:dyDescent="0.3">
      <c r="D120" s="185"/>
      <c r="E120" s="185"/>
      <c r="F120" s="185"/>
      <c r="G120" s="185"/>
    </row>
    <row r="121" spans="4:8" x14ac:dyDescent="0.3">
      <c r="D121" s="185"/>
      <c r="E121" s="185"/>
      <c r="F121" s="185"/>
      <c r="G121" s="192"/>
    </row>
  </sheetData>
  <sheetProtection formatCells="0"/>
  <autoFilter ref="H1:H119"/>
  <mergeCells count="32">
    <mergeCell ref="A2:C2"/>
    <mergeCell ref="A27:C27"/>
    <mergeCell ref="A46:C46"/>
    <mergeCell ref="A47:C47"/>
    <mergeCell ref="A48:C48"/>
    <mergeCell ref="A34:C34"/>
    <mergeCell ref="A35:C35"/>
    <mergeCell ref="A36:C36"/>
    <mergeCell ref="A37:C37"/>
    <mergeCell ref="A38:C38"/>
    <mergeCell ref="A39:C39"/>
    <mergeCell ref="A40:C40"/>
    <mergeCell ref="A41:C41"/>
    <mergeCell ref="A43:C43"/>
    <mergeCell ref="A44:C44"/>
    <mergeCell ref="A45:C45"/>
    <mergeCell ref="A66:C66"/>
    <mergeCell ref="A53:C53"/>
    <mergeCell ref="A49:C49"/>
    <mergeCell ref="A76:C76"/>
    <mergeCell ref="D34:G34"/>
    <mergeCell ref="A61:C61"/>
    <mergeCell ref="A50:C50"/>
    <mergeCell ref="A51:C51"/>
    <mergeCell ref="A52:C52"/>
    <mergeCell ref="A54:C54"/>
    <mergeCell ref="A56:C56"/>
    <mergeCell ref="A59:C59"/>
    <mergeCell ref="A57:C57"/>
    <mergeCell ref="A58:C58"/>
    <mergeCell ref="A42:C42"/>
    <mergeCell ref="A55:C55"/>
  </mergeCells>
  <dataValidations xWindow="554" yWindow="618" count="11">
    <dataValidation allowBlank="1" showInputMessage="1" showErrorMessage="1" prompt="wpisz wartość rabatu" sqref="C74"/>
    <dataValidation allowBlank="1" showErrorMessage="1" sqref="D74"/>
    <dataValidation allowBlank="1" showInputMessage="1" showErrorMessage="1" prompt="wpisz liczbę stanowisk" sqref="E25"/>
    <dataValidation allowBlank="1" showInputMessage="1" showErrorMessage="1" prompt="wpisz liczbę kierowników" sqref="E68"/>
    <dataValidation allowBlank="1" showInputMessage="1" showErrorMessage="1" prompt="można dokupić jeżeli na licencji jest już min. jedno stanowsiko dowolnego modułu samodzielnego min. w wersji srebrnej (patrz powyżej zaznaczone na zielono)" sqref="E7"/>
    <dataValidation allowBlank="1" showInputMessage="1" showErrorMessage="1" prompt="wymaga: Ewidencji Środków pieniężnych, dowolny moduł samodzielny min. w wersji srebrnej (patrz powyżej zaznaczone na zielono)" sqref="E23"/>
    <dataValidation allowBlank="1" showInputMessage="1" showErrorMessage="1" prompt="wymaga by na licencji było min. po 1 st. Handlu i CRM złotego" sqref="E11"/>
    <dataValidation allowBlank="1" showInputMessage="1" showErrorMessage="1" prompt="wymaga min. 1 st. Handlu złotego" sqref="E12"/>
    <dataValidation allowBlank="1" showInputMessage="1" showErrorMessage="1" prompt="na licencji musi być inny, dowolny moduł, którego działanie chcemy oprocesować" sqref="E19"/>
    <dataValidation allowBlank="1" showInputMessage="1" showErrorMessage="1" prompt="dowolny moduł, który chcemy &quot;poglądać&quot;" sqref="E22"/>
    <dataValidation allowBlank="1" showInputMessage="1" showErrorMessage="1" prompt="wymaga: Księgi Podatkowej lub Księgi Handlowej" sqref="E8"/>
  </dataValidations>
  <pageMargins left="0.7" right="0.7" top="0.75" bottom="0.75" header="0.3" footer="0.3"/>
  <pageSetup paperSize="9" fitToHeight="0" orientation="landscape" r:id="rId1"/>
  <ignoredErrors>
    <ignoredError sqref="H61 G21 H66 H27 G10 G5 G68" formula="1"/>
    <ignoredError sqref="C68" twoDigitTextYear="1"/>
    <ignoredError sqref="G29:G30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54" yWindow="618" count="28">
        <x14:dataValidation type="list" allowBlank="1" showInputMessage="1" showErrorMessage="1" prompt="wybierz przedział">
          <x14:formula1>
            <xm:f>'Cennik enova365'!$A$108:$A$113</xm:f>
          </x14:formula1>
          <xm:sqref>E70</xm:sqref>
        </x14:dataValidation>
        <x14:dataValidation type="list" allowBlank="1" showInputMessage="1" showErrorMessage="1">
          <x14:formula1>
            <xm:f>'Cennik enova365'!$K$18:$K$22</xm:f>
          </x14:formula1>
          <xm:sqref>E63</xm:sqref>
        </x14:dataValidation>
        <x14:dataValidation type="list" allowBlank="1" showInputMessage="1" showErrorMessage="1">
          <x14:formula1>
            <xm:f>'Cennik enova365'!$K$14:$K$15</xm:f>
          </x14:formula1>
          <xm:sqref>F28:F32 B63:B64 E74</xm:sqref>
        </x14:dataValidation>
        <x14:dataValidation type="list" allowBlank="1" showInputMessage="1" showErrorMessage="1">
          <x14:formula1>
            <xm:f>'Cennik enova365'!$K$2:$K$4</xm:f>
          </x14:formula1>
          <xm:sqref>B3 B16 B9:B10 B6:B7 B13:B14 B22</xm:sqref>
        </x14:dataValidation>
        <x14:dataValidation type="list" allowBlank="1" showInputMessage="1" showErrorMessage="1">
          <x14:formula1>
            <xm:f>'Cennik enova365'!$L$2:$L$3</xm:f>
          </x14:formula1>
          <xm:sqref>B4</xm:sqref>
        </x14:dataValidation>
        <x14:dataValidation type="list" allowBlank="1" showInputMessage="1" showErrorMessage="1">
          <x14:formula1>
            <xm:f>'Cennik enova365'!$K$3:$K$4</xm:f>
          </x14:formula1>
          <xm:sqref>B5 B11:B12 B8 B17:B20 B15 B23:B25</xm:sqref>
        </x14:dataValidation>
        <x14:dataValidation type="list" allowBlank="1" showInputMessage="1" showErrorMessage="1" prompt="wybierz przedział">
          <x14:formula1>
            <xm:f>'Cennik enova365'!$A$84:$A$89</xm:f>
          </x14:formula1>
          <xm:sqref>E67</xm:sqref>
        </x14:dataValidation>
        <x14:dataValidation type="list" allowBlank="1" showInputMessage="1" showErrorMessage="1">
          <x14:formula1>
            <xm:f>'Cennik enova365'!$K$25:$K$34</xm:f>
          </x14:formula1>
          <xm:sqref>E64</xm:sqref>
        </x14:dataValidation>
        <x14:dataValidation type="list" allowBlank="1" showInputMessage="1" showErrorMessage="1">
          <x14:formula1>
            <xm:f>'Cennik enova365'!$A$151:$A$155</xm:f>
          </x14:formula1>
          <xm:sqref>E77</xm:sqref>
        </x14:dataValidation>
        <x14:dataValidation type="list" allowBlank="1" showInputMessage="1" showErrorMessage="1" prompt="wymaga Kadr Płac min. w złocie">
          <x14:formula1>
            <xm:f>'Cennik enova365'!$K$14:$K$15</xm:f>
          </x14:formula1>
          <xm:sqref>B67</xm:sqref>
        </x14:dataValidation>
        <x14:dataValidation type="list" allowBlank="1" showInputMessage="1" showErrorMessage="1" prompt="wymaga Pulpitu _x000a_Pracownika">
          <x14:formula1>
            <xm:f>'Cennik enova365'!$K$14:$K$15</xm:f>
          </x14:formula1>
          <xm:sqref>B68 B71</xm:sqref>
        </x14:dataValidation>
        <x14:dataValidation type="list" allowBlank="1" showInputMessage="1" showErrorMessage="1" prompt="wymaga Handlu min. w złocie_x000a_lun CRM min. w złocie">
          <x14:formula1>
            <xm:f>'Cennik enova365'!$K$14:$K$15</xm:f>
          </x14:formula1>
          <xm:sqref>B69</xm:sqref>
        </x14:dataValidation>
        <x14:dataValidation type="list" allowBlank="1" showInputMessage="1" showErrorMessage="1" prompt="wymaga Workflow min. w platynie_x000a_oraz innego Pulpitu">
          <x14:formula1>
            <xm:f>'Cennik enova365'!$K$14:$K$15</xm:f>
          </x14:formula1>
          <xm:sqref>B70</xm:sqref>
        </x14:dataValidation>
        <x14:dataValidation type="list" allowBlank="1" showInputMessage="1" showErrorMessage="1" prompt="wymaga:_x000a_Kadry Płace min. złote">
          <x14:formula1>
            <xm:f>'Cennik enova365'!$K$14:$K$15</xm:f>
          </x14:formula1>
          <xm:sqref>E35:E40 E28 E42</xm:sqref>
        </x14:dataValidation>
        <x14:dataValidation type="list" allowBlank="1" showInputMessage="1" showErrorMessage="1" prompt="wymaga:_x000a_Kadry Płace min. złote i Handel min. złoty">
          <x14:formula1>
            <xm:f>'Cennik enova365'!$K$14:$K$15</xm:f>
          </x14:formula1>
          <xm:sqref>E41</xm:sqref>
        </x14:dataValidation>
        <x14:dataValidation type="list" allowBlank="1" showInputMessage="1" showErrorMessage="1" prompt="wymaga:_x000a_Księga Handlowa min. złota">
          <x14:formula1>
            <xm:f>'Cennik enova365'!$K$14:$K$15</xm:f>
          </x14:formula1>
          <xm:sqref>E43:E44</xm:sqref>
        </x14:dataValidation>
        <x14:dataValidation type="list" allowBlank="1" showInputMessage="1" showErrorMessage="1" prompt="wymaga:_x000a_Księga Handlowa min. złota_x000a_lub Księga Podatkowa">
          <x14:formula1>
            <xm:f>'Cennik enova365'!$K$14:$K$15</xm:f>
          </x14:formula1>
          <xm:sqref>E47:E48 E29</xm:sqref>
        </x14:dataValidation>
        <x14:dataValidation type="list" allowBlank="1" showInputMessage="1" showErrorMessage="1" prompt="wymaga:_x000a_Faktury min. srebrne_x000a_lub Handel min. srebrny_x000a_">
          <x14:formula1>
            <xm:f>'Cennik enova365'!$K$14:$K$15</xm:f>
          </x14:formula1>
          <xm:sqref>E50</xm:sqref>
        </x14:dataValidation>
        <x14:dataValidation type="list" allowBlank="1" showInputMessage="1" showErrorMessage="1" prompt="dowolny moduł min. w wersji srebrnej">
          <x14:formula1>
            <xm:f>'Cennik enova365'!$K$14:$K$15</xm:f>
          </x14:formula1>
          <xm:sqref>E51</xm:sqref>
        </x14:dataValidation>
        <x14:dataValidation type="list" allowBlank="1" showInputMessage="1" showErrorMessage="1" prompt="wymaga:_x000a_Faktury min. srebrne_x000a_lub Handel min. srebrny">
          <x14:formula1>
            <xm:f>'Cennik enova365'!$K$14:$K$15</xm:f>
          </x14:formula1>
          <xm:sqref>E52:E53</xm:sqref>
        </x14:dataValidation>
        <x14:dataValidation type="list" allowBlank="1" showInputMessage="1" showErrorMessage="1" prompt="wymaga:_x000a_CRM min. złoty_x000a_lub Projekty min. złote">
          <x14:formula1>
            <xm:f>'Cennik enova365'!$K$14:$K$15</xm:f>
          </x14:formula1>
          <xm:sqref>E57 E31</xm:sqref>
        </x14:dataValidation>
        <x14:dataValidation type="list" allowBlank="1" showInputMessage="1" showErrorMessage="1" prompt="wymaga:_x000a_Faktury min. złote_x000a_lub Handel min. złoty">
          <x14:formula1>
            <xm:f>'Cennik enova365'!$K$14:$K$15</xm:f>
          </x14:formula1>
          <xm:sqref>E30</xm:sqref>
        </x14:dataValidation>
        <x14:dataValidation type="list" allowBlank="1" showInputMessage="1" showErrorMessage="1" prompt="dowolny moduł min. w wersji złotej_x000a_(przynajmniej jedno, dowolne stanowsiko w ramach licencji Klienta musi być złote)">
          <x14:formula1>
            <xm:f>'Cennik enova365'!$K$14:$K$15</xm:f>
          </x14:formula1>
          <xm:sqref>E32 E58:E59 E56</xm:sqref>
        </x14:dataValidation>
        <x14:dataValidation type="list" allowBlank="1" showInputMessage="1" showErrorMessage="1" prompt="dowolny moduł min. w wersji złotej_x000a_(przynajmniej jedno, dowolne stanowsiko w ramach licencji Klienta musi być multi)">
          <x14:formula1>
            <xm:f>'Cennik enova365'!$K$14:$K$15</xm:f>
          </x14:formula1>
          <xm:sqref>E54</xm:sqref>
        </x14:dataValidation>
        <x14:dataValidation type="list" allowBlank="1" showInputMessage="1" showErrorMessage="1" prompt="wymaga: Ewidencji Środków pieniężnych, dowolny moduł samodzielny min. w wersji srebrnej (patrz powyżej zaznaczone na zielono)">
          <x14:formula1>
            <xm:f>'Cennik enova365'!$K$14:$K$15</xm:f>
          </x14:formula1>
          <xm:sqref>E45:E46 E49</xm:sqref>
        </x14:dataValidation>
        <x14:dataValidation type="list" allowBlank="1" showInputMessage="1" showErrorMessage="1" prompt="Wymaga modułów: _x000a_Workflow platyna_x000a_DMS platyna _x000a_Harmonogram Zadań_x000a_Integracja OCR">
          <x14:formula1>
            <xm:f>'Cennik enova365'!$L$14:$L$16</xm:f>
          </x14:formula1>
          <xm:sqref>B77</xm:sqref>
        </x14:dataValidation>
        <x14:dataValidation type="list" allowBlank="1" showInputMessage="1" showErrorMessage="1" prompt="wymaga:_x000a_Handel min. złoty">
          <x14:formula1>
            <xm:f>'Cennik enova365'!$K$14:$K$15</xm:f>
          </x14:formula1>
          <xm:sqref>E55</xm:sqref>
        </x14:dataValidation>
        <x14:dataValidation type="list" allowBlank="1" showInputMessage="1" showErrorMessage="1" prompt="wybierz przedział">
          <x14:formula1>
            <xm:f>'Cennik enova365'!$A$100:$A$105</xm:f>
          </x14:formula1>
          <xm:sqref>E69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80" zoomScaleNormal="80" workbookViewId="0">
      <selection activeCell="E69" sqref="E69"/>
    </sheetView>
  </sheetViews>
  <sheetFormatPr defaultColWidth="9.109375" defaultRowHeight="14.4" x14ac:dyDescent="0.3"/>
  <cols>
    <col min="1" max="1" width="46.6640625" style="12" customWidth="1"/>
    <col min="2" max="2" width="19" style="12" customWidth="1"/>
    <col min="3" max="3" width="16.88671875" style="12" customWidth="1"/>
    <col min="4" max="4" width="17.33203125" style="12" customWidth="1"/>
    <col min="5" max="5" width="17.6640625" style="12" customWidth="1"/>
    <col min="6" max="6" width="11.109375" style="12" customWidth="1"/>
    <col min="7" max="7" width="20" style="12" customWidth="1"/>
    <col min="8" max="8" width="11.44140625" style="12" customWidth="1"/>
    <col min="9" max="9" width="9.109375" style="12"/>
    <col min="10" max="10" width="86.33203125" style="12" bestFit="1" customWidth="1"/>
    <col min="11" max="11" width="12.6640625" style="12" customWidth="1"/>
    <col min="12" max="12" width="9.109375" style="12"/>
    <col min="13" max="14" width="2" style="12" hidden="1" customWidth="1"/>
    <col min="15" max="16384" width="9.109375" style="12"/>
  </cols>
  <sheetData>
    <row r="1" spans="1:13" ht="78" x14ac:dyDescent="0.3">
      <c r="A1" s="25" t="s">
        <v>12</v>
      </c>
      <c r="B1" s="26" t="s">
        <v>61</v>
      </c>
      <c r="C1" s="27" t="s">
        <v>89</v>
      </c>
      <c r="D1" s="27" t="s">
        <v>90</v>
      </c>
      <c r="E1" s="28" t="s">
        <v>168</v>
      </c>
      <c r="F1" s="277" t="s">
        <v>91</v>
      </c>
      <c r="G1" s="29" t="s">
        <v>14</v>
      </c>
      <c r="H1" s="129" t="s">
        <v>25</v>
      </c>
      <c r="J1" s="280" t="s">
        <v>170</v>
      </c>
    </row>
    <row r="2" spans="1:13" ht="15.6" x14ac:dyDescent="0.3">
      <c r="A2" s="299" t="s">
        <v>173</v>
      </c>
      <c r="B2" s="300"/>
      <c r="C2" s="301"/>
      <c r="D2" s="85"/>
      <c r="E2" s="85"/>
      <c r="F2" s="85"/>
      <c r="G2" s="86"/>
      <c r="H2" s="34">
        <f>IF(G18&gt;0,1,0)</f>
        <v>0</v>
      </c>
    </row>
    <row r="3" spans="1:13" ht="15.6" x14ac:dyDescent="0.3">
      <c r="A3" s="278" t="s">
        <v>137</v>
      </c>
      <c r="B3" s="37" t="s">
        <v>3</v>
      </c>
      <c r="C3" s="36">
        <f>IF(B3="srebro",'Cennik enova365'!B34,IF(B3="złoto",'Cennik enova365'!D34,IF(B3= "platyna",'Cennik enova365'!F34,)))</f>
        <v>268</v>
      </c>
      <c r="D3" s="36">
        <f>IF(B3="srebro",'Cennik enova365'!C34,IF(B3="złoto",'Cennik enova365'!E34,IF(B3= "platyna",'Cennik enova365'!G34,)))</f>
        <v>335</v>
      </c>
      <c r="E3" s="37">
        <v>0</v>
      </c>
      <c r="F3" s="37">
        <v>0</v>
      </c>
      <c r="G3" s="38">
        <f t="shared" ref="G3:G13" si="0">IF(F3=0,C3*E3,IF(OR(AND(E3=0,F3&lt;&gt;0),F3&gt;E3),"błąd",((E3-F3)*C3)+(D3*F3)))</f>
        <v>0</v>
      </c>
      <c r="H3" s="34">
        <f>IF(G3&gt;0,1,0)</f>
        <v>0</v>
      </c>
      <c r="M3" s="12">
        <f t="shared" ref="M3:M17" si="1">IF(AND(OR(B3="złoto",B3="srebro"),E3&gt;0),1,0)</f>
        <v>0</v>
      </c>
    </row>
    <row r="4" spans="1:13" ht="15.6" customHeight="1" x14ac:dyDescent="0.3">
      <c r="A4" s="278" t="s">
        <v>138</v>
      </c>
      <c r="B4" s="37" t="s">
        <v>1</v>
      </c>
      <c r="C4" s="36">
        <f>IF(B4="srebro",'Cennik enova365'!B35,IF(B4="złoto",'Cennik enova365'!D35,IF(B4= "platyna",'Cennik enova365'!F35,)))</f>
        <v>38</v>
      </c>
      <c r="D4" s="36">
        <f>IF(B4="srebro",'Cennik enova365'!C35,IF(B4="złoto",'Cennik enova365'!E35,IF(B4= "platyna",'Cennik enova365'!G35,)))</f>
        <v>53</v>
      </c>
      <c r="E4" s="37">
        <v>0</v>
      </c>
      <c r="F4" s="37">
        <v>0</v>
      </c>
      <c r="G4" s="38">
        <f t="shared" si="0"/>
        <v>0</v>
      </c>
      <c r="H4" s="34">
        <f t="shared" ref="H4:H76" si="2">IF(G4&gt;0,1,0)</f>
        <v>0</v>
      </c>
      <c r="J4" s="280"/>
      <c r="K4" s="280"/>
      <c r="L4" s="280"/>
      <c r="M4" s="280"/>
    </row>
    <row r="5" spans="1:13" ht="15.6" x14ac:dyDescent="0.3">
      <c r="A5" s="278" t="s">
        <v>139</v>
      </c>
      <c r="B5" s="37" t="s">
        <v>3</v>
      </c>
      <c r="C5" s="36">
        <f>IF(B5="srebro",'Cennik enova365'!B36,IF(B5="złoto",'Cennik enova365'!D36,IF(B5= "platyna",'Cennik enova365'!F36,)))</f>
        <v>201</v>
      </c>
      <c r="D5" s="36">
        <f>IF(B5="srebro",'Cennik enova365'!C36,IF(B5="złoto",'Cennik enova365'!E36,IF(B5= "platyna",'Cennik enova365'!G36,)))</f>
        <v>251</v>
      </c>
      <c r="E5" s="37">
        <v>0</v>
      </c>
      <c r="F5" s="37">
        <v>0</v>
      </c>
      <c r="G5" s="38">
        <f t="shared" si="0"/>
        <v>0</v>
      </c>
      <c r="H5" s="34">
        <f t="shared" si="2"/>
        <v>0</v>
      </c>
      <c r="J5" s="280"/>
      <c r="K5" s="280"/>
      <c r="L5" s="280"/>
      <c r="M5" s="280"/>
    </row>
    <row r="6" spans="1:13" ht="15.6" x14ac:dyDescent="0.3">
      <c r="A6" s="278" t="s">
        <v>140</v>
      </c>
      <c r="B6" s="37" t="s">
        <v>1</v>
      </c>
      <c r="C6" s="36">
        <f>IF(B6="srebro",'Cennik enova365'!B37,IF(B6="złoto",'Cennik enova365'!D37,IF(B6= "platyna",'Cennik enova365'!F37,)))</f>
        <v>23</v>
      </c>
      <c r="D6" s="36">
        <f>IF(B6="srebro",'Cennik enova365'!C37,IF(B6="złoto",'Cennik enova365'!E37,IF(B6= "platyna",'Cennik enova365'!G37,)))</f>
        <v>32</v>
      </c>
      <c r="E6" s="37">
        <v>0</v>
      </c>
      <c r="F6" s="37">
        <v>0</v>
      </c>
      <c r="G6" s="38">
        <f t="shared" si="0"/>
        <v>0</v>
      </c>
      <c r="H6" s="34">
        <f t="shared" si="2"/>
        <v>0</v>
      </c>
      <c r="J6" s="286" t="str">
        <f>IF(B6="platyna"," ",IF(AND(E4+F4&gt;0,E5+F5&gt;0,B6&lt;&gt;B5),"w tej konfiguracji Ks. Inwentarzowa musi mieć taki sam kolor jak Ks. Handlowa",IF(E6+F6=0," ",IF(AND(E5+F5&gt;0,B6&lt;&gt;B5),"Ks. Inwentarzowa musi mieć taki sam kolor jak Ks. Handlowa",IF(AND(E4+F4&gt;0,E5+F5=0,B4&lt;&gt;B6),"Ks. Inwentarzowa musi mieć taki sam kolor jak Ks. Podatkowa"," ")))))</f>
        <v xml:space="preserve"> </v>
      </c>
      <c r="K6" s="280"/>
      <c r="L6" s="280"/>
      <c r="M6" s="280"/>
    </row>
    <row r="7" spans="1:13" ht="31.2" x14ac:dyDescent="0.3">
      <c r="A7" s="193" t="s">
        <v>119</v>
      </c>
      <c r="B7" s="37" t="s">
        <v>3</v>
      </c>
      <c r="C7" s="36">
        <f>IF(B7="srebro",'Cennik enova365'!B38,IF(B7="złoto",'Cennik enova365'!D38,IF(B7= "platyna",'Cennik enova365'!F38,)))</f>
        <v>32</v>
      </c>
      <c r="D7" s="36">
        <f>IF(B7="srebro",'Cennik enova365'!C38,IF(B7="złoto",'Cennik enova365'!E38,IF(B7= "platyna",'Cennik enova365'!G38,)))</f>
        <v>40</v>
      </c>
      <c r="E7" s="37">
        <v>0</v>
      </c>
      <c r="F7" s="37">
        <v>0</v>
      </c>
      <c r="G7" s="38">
        <f t="shared" si="0"/>
        <v>0</v>
      </c>
      <c r="H7" s="34">
        <f t="shared" si="2"/>
        <v>0</v>
      </c>
      <c r="J7" s="280"/>
      <c r="K7" s="280"/>
      <c r="L7" s="280"/>
      <c r="M7" s="280"/>
    </row>
    <row r="8" spans="1:13" ht="15.6" x14ac:dyDescent="0.3">
      <c r="A8" s="193" t="s">
        <v>102</v>
      </c>
      <c r="B8" s="37" t="s">
        <v>3</v>
      </c>
      <c r="C8" s="36">
        <f>IF(B8="srebro",'Cennik enova365'!B39,IF(B8="złoto",'Cennik enova365'!D39,IF(B8= "platyna",'Cennik enova365'!F39,)))</f>
        <v>71</v>
      </c>
      <c r="D8" s="36">
        <f>IF(B8="srebro",'Cennik enova365'!C39,IF(B8="złoto",'Cennik enova365'!E39,IF(B8= "platyna",'Cennik enova365'!G39,)))</f>
        <v>85</v>
      </c>
      <c r="E8" s="37">
        <v>0</v>
      </c>
      <c r="F8" s="37">
        <v>0</v>
      </c>
      <c r="G8" s="38">
        <f t="shared" si="0"/>
        <v>0</v>
      </c>
      <c r="H8" s="34">
        <f t="shared" si="2"/>
        <v>0</v>
      </c>
      <c r="J8" s="280"/>
      <c r="K8" s="280"/>
      <c r="L8" s="280"/>
      <c r="M8" s="280"/>
    </row>
    <row r="9" spans="1:13" ht="15.6" x14ac:dyDescent="0.3">
      <c r="A9" s="278" t="s">
        <v>113</v>
      </c>
      <c r="B9" s="37" t="s">
        <v>3</v>
      </c>
      <c r="C9" s="36">
        <f>IF(B9="srebro",'Cennik enova365'!B40,IF(B9="złoto",'Cennik enova365'!D40,IF(B9= "platyna",'Cennik enova365'!F40,)))</f>
        <v>39</v>
      </c>
      <c r="D9" s="36">
        <f>IF(B9="srebro",'Cennik enova365'!C40,IF(B9="złoto",'Cennik enova365'!E40,IF(B9= "platyna",'Cennik enova365'!G40,)))</f>
        <v>49</v>
      </c>
      <c r="E9" s="37">
        <v>0</v>
      </c>
      <c r="F9" s="37">
        <v>0</v>
      </c>
      <c r="G9" s="38">
        <f t="shared" si="0"/>
        <v>0</v>
      </c>
      <c r="H9" s="34">
        <f t="shared" si="2"/>
        <v>0</v>
      </c>
      <c r="M9" s="12">
        <f t="shared" si="1"/>
        <v>0</v>
      </c>
    </row>
    <row r="10" spans="1:13" ht="15.6" x14ac:dyDescent="0.3">
      <c r="A10" s="278" t="s">
        <v>196</v>
      </c>
      <c r="B10" s="37" t="s">
        <v>3</v>
      </c>
      <c r="C10" s="36">
        <f>IF(B10="srebro",'Cennik enova365'!B41,IF(B10="złoto",'Cennik enova365'!D41,IF(B10= "platyna",'Cennik enova365'!F41,)))</f>
        <v>73</v>
      </c>
      <c r="D10" s="36">
        <f>IF(B10="srebro",'Cennik enova365'!C41,IF(B10="złoto",'Cennik enova365'!E41,IF(B10= "platyna",'Cennik enova365'!G41,)))</f>
        <v>92</v>
      </c>
      <c r="E10" s="37">
        <v>0</v>
      </c>
      <c r="F10" s="37">
        <v>0</v>
      </c>
      <c r="G10" s="38">
        <f t="shared" si="0"/>
        <v>0</v>
      </c>
      <c r="H10" s="34">
        <f t="shared" si="2"/>
        <v>0</v>
      </c>
    </row>
    <row r="11" spans="1:13" ht="15.6" x14ac:dyDescent="0.3">
      <c r="A11" s="278" t="s">
        <v>197</v>
      </c>
      <c r="B11" s="37" t="s">
        <v>3</v>
      </c>
      <c r="C11" s="36">
        <f>IF(B11="srebro",'Cennik enova365'!B42,IF(B11="złoto",'Cennik enova365'!D42,IF(B11= "platyna",'Cennik enova365'!F42,)))</f>
        <v>135</v>
      </c>
      <c r="D11" s="36">
        <f>IF(B11="srebro",'Cennik enova365'!C42,IF(B11="złoto",'Cennik enova365'!E42,IF(B11= "platyna",'Cennik enova365'!G42,)))</f>
        <v>169</v>
      </c>
      <c r="E11" s="37">
        <v>0</v>
      </c>
      <c r="F11" s="37">
        <v>0</v>
      </c>
      <c r="G11" s="38">
        <f t="shared" si="0"/>
        <v>0</v>
      </c>
      <c r="H11" s="34">
        <f t="shared" si="2"/>
        <v>0</v>
      </c>
    </row>
    <row r="12" spans="1:13" ht="15.6" x14ac:dyDescent="0.3">
      <c r="A12" s="56" t="s">
        <v>141</v>
      </c>
      <c r="B12" s="37" t="s">
        <v>3</v>
      </c>
      <c r="C12" s="36">
        <f>IF(B12="srebro",'Cennik enova365'!B43,IF(B12="złoto",'Cennik enova365'!D43,IF(B12= "platyna",'Cennik enova365'!F43,)))</f>
        <v>20</v>
      </c>
      <c r="D12" s="36">
        <f>IF(B12="srebro",'Cennik enova365'!C43,IF(B12="złoto",'Cennik enova365'!E43,IF(B12= "platyna",'Cennik enova365'!G43,)))</f>
        <v>20</v>
      </c>
      <c r="E12" s="37">
        <v>0</v>
      </c>
      <c r="F12" s="37">
        <v>0</v>
      </c>
      <c r="G12" s="38">
        <f t="shared" si="0"/>
        <v>0</v>
      </c>
      <c r="H12" s="34">
        <f t="shared" si="2"/>
        <v>0</v>
      </c>
      <c r="M12" s="12">
        <f t="shared" si="1"/>
        <v>0</v>
      </c>
    </row>
    <row r="13" spans="1:13" ht="15.6" x14ac:dyDescent="0.3">
      <c r="A13" s="56" t="s">
        <v>142</v>
      </c>
      <c r="B13" s="37" t="s">
        <v>3</v>
      </c>
      <c r="C13" s="36">
        <f>IF(B13="srebro",'Cennik enova365'!B44,IF(B13="złoto",'Cennik enova365'!D44,IF(B13= "platyna",'Cennik enova365'!F44,)))</f>
        <v>32</v>
      </c>
      <c r="D13" s="36">
        <f>IF(B13="srebro",'Cennik enova365'!C44,IF(B13="złoto",'Cennik enova365'!E44,IF(B13= "platyna",'Cennik enova365'!G44,)))</f>
        <v>32</v>
      </c>
      <c r="E13" s="37">
        <v>0</v>
      </c>
      <c r="F13" s="37">
        <v>0</v>
      </c>
      <c r="G13" s="38">
        <f t="shared" si="0"/>
        <v>0</v>
      </c>
      <c r="H13" s="34">
        <f t="shared" si="2"/>
        <v>0</v>
      </c>
      <c r="K13" s="173"/>
      <c r="M13" s="12">
        <f t="shared" si="1"/>
        <v>0</v>
      </c>
    </row>
    <row r="14" spans="1:13" ht="15.6" x14ac:dyDescent="0.3">
      <c r="A14" s="56" t="s">
        <v>143</v>
      </c>
      <c r="B14" s="36"/>
      <c r="C14" s="36">
        <f>'Cennik enova365'!D45</f>
        <v>199</v>
      </c>
      <c r="D14" s="36"/>
      <c r="E14" s="36"/>
      <c r="F14" s="36"/>
      <c r="G14" s="38">
        <f>IF(OR((AND(B12="platyna",E12&gt;0)),E13&gt;0),C14,0)</f>
        <v>0</v>
      </c>
      <c r="H14" s="34">
        <f t="shared" si="2"/>
        <v>0</v>
      </c>
      <c r="K14" s="173"/>
      <c r="M14" s="12">
        <f t="shared" si="1"/>
        <v>0</v>
      </c>
    </row>
    <row r="15" spans="1:13" ht="15.6" x14ac:dyDescent="0.3">
      <c r="A15" s="56" t="s">
        <v>198</v>
      </c>
      <c r="B15" s="37" t="s">
        <v>3</v>
      </c>
      <c r="C15" s="36">
        <f>IF(B15="srebro",'Cennik enova365'!B46,IF(B15="złoto",'Cennik enova365'!D46,IF(B15= "platyna",'Cennik enova365'!F46,)))</f>
        <v>55</v>
      </c>
      <c r="D15" s="36">
        <f>IF(B15="srebro",'Cennik enova365'!C46,IF(B15="złoto",'Cennik enova365'!E46,IF(B15= "platyna",'Cennik enova365'!G46,)))</f>
        <v>69</v>
      </c>
      <c r="E15" s="37">
        <v>0</v>
      </c>
      <c r="F15" s="37">
        <v>0</v>
      </c>
      <c r="G15" s="38">
        <f>IF(F15=0,C15*E15,IF(OR(AND(E15=0,F15&lt;&gt;0),F15&gt;E15),"błąd",((E15-F15)*C15)+(D15*F15)))</f>
        <v>0</v>
      </c>
      <c r="H15" s="34">
        <f t="shared" si="2"/>
        <v>0</v>
      </c>
      <c r="K15" s="173"/>
    </row>
    <row r="16" spans="1:13" ht="15.6" x14ac:dyDescent="0.3">
      <c r="A16" s="56" t="s">
        <v>144</v>
      </c>
      <c r="B16" s="37" t="s">
        <v>3</v>
      </c>
      <c r="C16" s="36">
        <f>IF(B16="srebro",'Cennik enova365'!B47,IF(B16="złoto",'Cennik enova365'!D47,IF(B16= "platyna",'Cennik enova365'!F47,)))</f>
        <v>63</v>
      </c>
      <c r="D16" s="36">
        <f>IF(B16="srebro",'Cennik enova365'!C47,IF(B16="złoto",'Cennik enova365'!E47,IF(B16= "platyna",'Cennik enova365'!G47,)))</f>
        <v>79</v>
      </c>
      <c r="E16" s="37">
        <v>0</v>
      </c>
      <c r="F16" s="37">
        <v>0</v>
      </c>
      <c r="G16" s="38">
        <f>IF(F16=0,C16*E16,IF(OR(AND(E16=0,F16&lt;&gt;0),F16&gt;E16),"błąd",((E16-F16)*C16)+(D16*F16)))</f>
        <v>0</v>
      </c>
      <c r="H16" s="34">
        <f t="shared" si="2"/>
        <v>0</v>
      </c>
      <c r="K16" s="173"/>
      <c r="M16" s="12">
        <f t="shared" si="1"/>
        <v>0</v>
      </c>
    </row>
    <row r="17" spans="1:14" ht="15.6" x14ac:dyDescent="0.3">
      <c r="A17" s="278" t="s">
        <v>145</v>
      </c>
      <c r="B17" s="37" t="s">
        <v>3</v>
      </c>
      <c r="C17" s="36">
        <f>IF(B17="srebro",'Cennik enova365'!B48,IF(B17="złoto",'Cennik enova365'!D48,IF(B17= "platyna",'Cennik enova365'!F48,)))</f>
        <v>39</v>
      </c>
      <c r="D17" s="36">
        <f>IF(B17="srebro",'Cennik enova365'!C48,IF(B17="złoto",'Cennik enova365'!E48,IF(B17= "platyna",'Cennik enova365'!G48,)))</f>
        <v>49</v>
      </c>
      <c r="E17" s="37">
        <v>0</v>
      </c>
      <c r="F17" s="37">
        <v>0</v>
      </c>
      <c r="G17" s="38">
        <f>IF(F17=0,C17*E17,IF(OR(AND(E17=0,F17&lt;&gt;0),F17&gt;E17),"błąd",((E17-F17)*C17)+(D17*F17)))</f>
        <v>0</v>
      </c>
      <c r="H17" s="34">
        <f t="shared" si="2"/>
        <v>0</v>
      </c>
      <c r="K17" s="173"/>
      <c r="M17" s="12">
        <f t="shared" si="1"/>
        <v>0</v>
      </c>
    </row>
    <row r="18" spans="1:14" ht="15.6" x14ac:dyDescent="0.3">
      <c r="A18" s="309" t="s">
        <v>15</v>
      </c>
      <c r="B18" s="310"/>
      <c r="C18" s="73"/>
      <c r="D18" s="73"/>
      <c r="E18" s="73"/>
      <c r="F18" s="74"/>
      <c r="G18" s="75">
        <f>SUM(G3:G17)</f>
        <v>0</v>
      </c>
      <c r="H18" s="34">
        <f t="shared" si="2"/>
        <v>0</v>
      </c>
      <c r="M18" s="12">
        <f>SUM(M3:M17)</f>
        <v>0</v>
      </c>
      <c r="N18" s="12">
        <f>SUM(M18:M18)</f>
        <v>0</v>
      </c>
    </row>
    <row r="19" spans="1:14" ht="15.6" x14ac:dyDescent="0.3">
      <c r="A19" s="302" t="s">
        <v>171</v>
      </c>
      <c r="B19" s="303"/>
      <c r="C19" s="304"/>
      <c r="D19" s="50"/>
      <c r="E19" s="198" t="s">
        <v>44</v>
      </c>
      <c r="F19" s="199" t="s">
        <v>45</v>
      </c>
      <c r="G19" s="194"/>
      <c r="H19" s="152">
        <f>H24</f>
        <v>0</v>
      </c>
    </row>
    <row r="20" spans="1:14" ht="15.6" x14ac:dyDescent="0.3">
      <c r="A20" s="195" t="s">
        <v>166</v>
      </c>
      <c r="B20" s="53"/>
      <c r="C20" s="36">
        <f>'Cennik enova365'!$D130</f>
        <v>287</v>
      </c>
      <c r="D20" s="36">
        <f>'Cennik enova365'!$E130</f>
        <v>344</v>
      </c>
      <c r="E20" s="37" t="s">
        <v>4</v>
      </c>
      <c r="F20" s="37" t="s">
        <v>4</v>
      </c>
      <c r="G20" s="38">
        <f>IF(AND(E3=0,E20="TAK"),"Dodaj Kadry",IF(AND(E20="TAK",F20="NIE"),C20,IF(AND(E20="TAK",F20="TAK"),D20,IF(AND(E20="NIE",F20="TAK"),"błąd",0))))</f>
        <v>0</v>
      </c>
      <c r="H20" s="152">
        <f t="shared" ref="H20:H24" si="3">IF(G20&gt;0,1,0)</f>
        <v>0</v>
      </c>
    </row>
    <row r="21" spans="1:14" ht="15.6" x14ac:dyDescent="0.3">
      <c r="A21" s="195" t="s">
        <v>93</v>
      </c>
      <c r="B21" s="53"/>
      <c r="C21" s="36">
        <f>'Cennik enova365'!$D131</f>
        <v>287</v>
      </c>
      <c r="D21" s="36">
        <f>'Cennik enova365'!$E131</f>
        <v>344</v>
      </c>
      <c r="E21" s="37" t="s">
        <v>4</v>
      </c>
      <c r="F21" s="37" t="s">
        <v>4</v>
      </c>
      <c r="G21" s="38">
        <f>IF(AND(SUM(E4:E5)=0,E21="TAK"),"Dodaj Ksiegowość",IF(AND(E21="TAK",F21="NIE"),C21,IF(AND(E21="TAK",F21="TAK"),D21,IF(AND(E21="NIE",F21="TAK"),"błąd",0))))</f>
        <v>0</v>
      </c>
      <c r="H21" s="152">
        <f t="shared" si="3"/>
        <v>0</v>
      </c>
    </row>
    <row r="22" spans="1:14" ht="15.6" x14ac:dyDescent="0.3">
      <c r="A22" s="195" t="s">
        <v>95</v>
      </c>
      <c r="B22" s="53"/>
      <c r="C22" s="36">
        <f>'Cennik enova365'!$D132</f>
        <v>287</v>
      </c>
      <c r="D22" s="36">
        <f>'Cennik enova365'!$E132</f>
        <v>344</v>
      </c>
      <c r="E22" s="37" t="s">
        <v>4</v>
      </c>
      <c r="F22" s="37" t="s">
        <v>4</v>
      </c>
      <c r="G22" s="38">
        <f>IF(AND(E9=0,E22="TAK"),"Dodaj FV",IF(AND(E22="TAK",F22="NIE"),C22,IF(AND(E22="TAK",F22="TAK"),D22,IF(AND(E22="NIE",F22="TAK"),"błąd",0))))</f>
        <v>0</v>
      </c>
      <c r="H22" s="152">
        <f t="shared" si="3"/>
        <v>0</v>
      </c>
    </row>
    <row r="23" spans="1:14" ht="15.6" x14ac:dyDescent="0.3">
      <c r="A23" s="195" t="s">
        <v>97</v>
      </c>
      <c r="B23" s="53"/>
      <c r="C23" s="36">
        <f>'Cennik enova365'!$D134</f>
        <v>1999</v>
      </c>
      <c r="D23" s="36">
        <f>'Cennik enova365'!$E134</f>
        <v>2399</v>
      </c>
      <c r="E23" s="37" t="s">
        <v>4</v>
      </c>
      <c r="F23" s="37" t="s">
        <v>4</v>
      </c>
      <c r="G23" s="38">
        <f>IF(AND(SUM(G20:G22)&gt;0,E23="TAK"),"błąd",IF(AND(E23="TAK",F23="NIE"),C23,IF(AND(E23="TAK",F23="TAK"),D23,IF(AND(E23="NIE",F23="TAK"),"błąd",0))))</f>
        <v>0</v>
      </c>
      <c r="H23" s="152">
        <f t="shared" si="3"/>
        <v>0</v>
      </c>
    </row>
    <row r="24" spans="1:14" ht="15.6" x14ac:dyDescent="0.3">
      <c r="A24" s="157" t="s">
        <v>99</v>
      </c>
      <c r="B24" s="197"/>
      <c r="C24" s="159"/>
      <c r="D24" s="159"/>
      <c r="E24" s="160"/>
      <c r="F24" s="161"/>
      <c r="G24" s="41">
        <f>SUM(G20:G23)</f>
        <v>0</v>
      </c>
      <c r="H24" s="152">
        <f t="shared" si="3"/>
        <v>0</v>
      </c>
    </row>
    <row r="25" spans="1:14" ht="15.6" x14ac:dyDescent="0.3">
      <c r="A25" s="290" t="s">
        <v>174</v>
      </c>
      <c r="B25" s="291"/>
      <c r="C25" s="292"/>
      <c r="D25" s="87"/>
      <c r="E25" s="87" t="s">
        <v>35</v>
      </c>
      <c r="F25" s="88"/>
      <c r="G25" s="89"/>
      <c r="H25" s="34">
        <f>IF(G30&gt;0,1,0)</f>
        <v>0</v>
      </c>
    </row>
    <row r="26" spans="1:14" ht="15.6" x14ac:dyDescent="0.3">
      <c r="A26" s="56" t="s">
        <v>62</v>
      </c>
      <c r="B26" s="44" t="s">
        <v>4</v>
      </c>
      <c r="C26" s="36">
        <f>IF(E26="do 50 kont",'Cennik enova365'!B84,IF(E26="do 100 kont",'Cennik enova365'!B85,IF(E26="do 200 kont",'Cennik enova365'!B86,IF(E26="do 500 kont",'Cennik enova365'!B87,IF(E26="do 1000 kont",'Cennik enova365'!B88,IF(E26="powyżej 1000 kont",'Cennik enova365'!B89))))))</f>
        <v>199</v>
      </c>
      <c r="D26" s="36"/>
      <c r="E26" s="37" t="s">
        <v>186</v>
      </c>
      <c r="F26" s="55"/>
      <c r="G26" s="38">
        <f>IF(B26="TAK",C26,0)</f>
        <v>0</v>
      </c>
      <c r="H26" s="34">
        <f t="shared" si="2"/>
        <v>0</v>
      </c>
    </row>
    <row r="27" spans="1:14" ht="15.6" x14ac:dyDescent="0.3">
      <c r="A27" s="56" t="s">
        <v>30</v>
      </c>
      <c r="B27" s="44" t="s">
        <v>4</v>
      </c>
      <c r="C27" s="36">
        <f>'Cennik enova365'!B91</f>
        <v>15</v>
      </c>
      <c r="D27" s="36"/>
      <c r="E27" s="37">
        <v>0</v>
      </c>
      <c r="F27" s="55"/>
      <c r="G27" s="38">
        <f>IF(B27="TAK",C27*E27,0)</f>
        <v>0</v>
      </c>
      <c r="H27" s="34">
        <f t="shared" si="2"/>
        <v>0</v>
      </c>
    </row>
    <row r="28" spans="1:14" ht="15.6" x14ac:dyDescent="0.3">
      <c r="A28" s="56" t="s">
        <v>77</v>
      </c>
      <c r="B28" s="44" t="s">
        <v>4</v>
      </c>
      <c r="C28" s="36">
        <f>IF(E28="do 50 kont",'Cennik enova365'!B108,IF(E28="do 100 kont",'Cennik enova365'!B109,IF(E28="do 200 kont",'Cennik enova365'!B110,IF(E28="do 500 kont",'Cennik enova365'!B111,IF(E28="do 1000 kont",'Cennik enova365'!B112,IF(E28="powyżej 1000 kont",'Cennik enova365'!B113))))))</f>
        <v>99</v>
      </c>
      <c r="D28" s="36"/>
      <c r="E28" s="37" t="s">
        <v>186</v>
      </c>
      <c r="F28" s="55"/>
      <c r="G28" s="38">
        <f t="shared" ref="G28:G29" si="4">IF(B28="TAK",C28,0)</f>
        <v>0</v>
      </c>
      <c r="H28" s="34">
        <f>IF(G28&gt;0,1,0)</f>
        <v>0</v>
      </c>
    </row>
    <row r="29" spans="1:14" s="152" customFormat="1" ht="15.6" x14ac:dyDescent="0.3">
      <c r="A29" s="56" t="s">
        <v>104</v>
      </c>
      <c r="B29" s="44" t="s">
        <v>4</v>
      </c>
      <c r="C29" s="36">
        <f>'Cennik enova365'!B92</f>
        <v>330</v>
      </c>
      <c r="D29" s="36"/>
      <c r="E29" s="36"/>
      <c r="F29" s="55"/>
      <c r="G29" s="38">
        <f t="shared" si="4"/>
        <v>0</v>
      </c>
      <c r="H29" s="152">
        <f t="shared" ref="H29" si="5">IF(G29&gt;0,1,0)</f>
        <v>0</v>
      </c>
      <c r="J29" s="153"/>
      <c r="K29" s="164"/>
      <c r="L29" s="164"/>
    </row>
    <row r="30" spans="1:14" ht="15.6" x14ac:dyDescent="0.3">
      <c r="A30" s="309" t="s">
        <v>38</v>
      </c>
      <c r="B30" s="310"/>
      <c r="C30" s="73"/>
      <c r="D30" s="73"/>
      <c r="E30" s="73"/>
      <c r="F30" s="74"/>
      <c r="G30" s="75">
        <f>SUM(G26:G29)</f>
        <v>0</v>
      </c>
      <c r="H30" s="34">
        <f t="shared" si="2"/>
        <v>0</v>
      </c>
    </row>
    <row r="31" spans="1:14" ht="15.6" x14ac:dyDescent="0.3">
      <c r="A31" s="302" t="s">
        <v>182</v>
      </c>
      <c r="B31" s="303"/>
      <c r="C31" s="304"/>
      <c r="D31" s="90"/>
      <c r="E31" s="87" t="s">
        <v>31</v>
      </c>
      <c r="F31" s="88"/>
      <c r="G31" s="91"/>
      <c r="H31" s="34">
        <f>IF(G32&gt;0,1,0)</f>
        <v>0</v>
      </c>
    </row>
    <row r="32" spans="1:14" ht="31.2" x14ac:dyDescent="0.3">
      <c r="A32" s="76" t="s">
        <v>183</v>
      </c>
      <c r="B32" s="104" t="s">
        <v>4</v>
      </c>
      <c r="C32" s="77">
        <f>'Cennik enova365'!B96</f>
        <v>0.05</v>
      </c>
      <c r="D32" s="77"/>
      <c r="E32" s="105">
        <v>0</v>
      </c>
      <c r="F32" s="135"/>
      <c r="G32" s="78">
        <f>IF(B32="TAK",(G30*E32)*C32,0)</f>
        <v>0</v>
      </c>
      <c r="H32" s="79">
        <f t="shared" si="2"/>
        <v>0</v>
      </c>
    </row>
    <row r="33" spans="1:8" ht="15.6" x14ac:dyDescent="0.3">
      <c r="A33" s="309" t="s">
        <v>80</v>
      </c>
      <c r="B33" s="310"/>
      <c r="C33" s="57"/>
      <c r="D33" s="57"/>
      <c r="E33" s="57"/>
      <c r="F33" s="59"/>
      <c r="G33" s="60">
        <f>G30+G32</f>
        <v>0</v>
      </c>
      <c r="H33" s="34">
        <f t="shared" si="2"/>
        <v>0</v>
      </c>
    </row>
    <row r="34" spans="1:8" ht="15.6" x14ac:dyDescent="0.3">
      <c r="A34" s="290" t="s">
        <v>181</v>
      </c>
      <c r="B34" s="291"/>
      <c r="C34" s="292"/>
      <c r="D34" s="92"/>
      <c r="E34" s="87" t="s">
        <v>84</v>
      </c>
      <c r="F34" s="88"/>
      <c r="G34" s="93"/>
      <c r="H34" s="34">
        <f>IF(G36&gt;0,1,0)</f>
        <v>0</v>
      </c>
    </row>
    <row r="35" spans="1:8" ht="15.6" x14ac:dyDescent="0.3">
      <c r="A35" s="56" t="s">
        <v>78</v>
      </c>
      <c r="B35" s="104" t="s">
        <v>4</v>
      </c>
      <c r="C35" s="36">
        <f>IF(E35="do 50 baz",'Cennik enova365'!B116,IF(E35="do 200 baz",'Cennik enova365'!B117,IF(E35="do 500 baz",'Cennik enova365'!B118,IF(E35="powyżej 500 baz",'Cennik enova365'!B119))))</f>
        <v>153</v>
      </c>
      <c r="D35" s="36"/>
      <c r="E35" s="37" t="s">
        <v>192</v>
      </c>
      <c r="F35" s="55"/>
      <c r="G35" s="38">
        <f>IF(B35="TAK",C35,0)</f>
        <v>0</v>
      </c>
      <c r="H35" s="34">
        <f t="shared" si="2"/>
        <v>0</v>
      </c>
    </row>
    <row r="36" spans="1:8" ht="15.6" x14ac:dyDescent="0.3">
      <c r="A36" s="311" t="s">
        <v>79</v>
      </c>
      <c r="B36" s="312"/>
      <c r="C36" s="73"/>
      <c r="D36" s="73"/>
      <c r="E36" s="73"/>
      <c r="F36" s="74"/>
      <c r="G36" s="75">
        <f>G35</f>
        <v>0</v>
      </c>
      <c r="H36" s="34">
        <f t="shared" si="2"/>
        <v>0</v>
      </c>
    </row>
    <row r="37" spans="1:8" ht="47.4" customHeight="1" x14ac:dyDescent="0.3">
      <c r="A37" s="305" t="s">
        <v>172</v>
      </c>
      <c r="B37" s="291"/>
      <c r="C37" s="292"/>
      <c r="D37" s="94"/>
      <c r="E37" s="92"/>
      <c r="F37" s="95"/>
      <c r="G37" s="93"/>
      <c r="H37" s="34">
        <f>H62</f>
        <v>1</v>
      </c>
    </row>
    <row r="38" spans="1:8" ht="15.6" x14ac:dyDescent="0.3">
      <c r="A38" s="293" t="s">
        <v>106</v>
      </c>
      <c r="B38" s="294"/>
      <c r="C38" s="295"/>
      <c r="D38" s="36">
        <f>'Cennik enova365'!B51</f>
        <v>166</v>
      </c>
      <c r="E38" s="37" t="s">
        <v>4</v>
      </c>
      <c r="F38" s="181"/>
      <c r="G38" s="38">
        <f t="shared" ref="G38:G60" si="6">IF(SUM(E$3:E$13)=0,IF(E38="TAK",D38,0),IF(N$18=0,0,IF(E38="TAK",D38,0)))</f>
        <v>0</v>
      </c>
      <c r="H38" s="34">
        <f>IF(E38="TAK",1,0)</f>
        <v>0</v>
      </c>
    </row>
    <row r="39" spans="1:8" ht="15.6" x14ac:dyDescent="0.3">
      <c r="A39" s="293" t="s">
        <v>52</v>
      </c>
      <c r="B39" s="294"/>
      <c r="C39" s="295"/>
      <c r="D39" s="36">
        <f>'Cennik enova365'!B52</f>
        <v>166</v>
      </c>
      <c r="E39" s="37" t="s">
        <v>4</v>
      </c>
      <c r="F39" s="55"/>
      <c r="G39" s="38">
        <f t="shared" si="6"/>
        <v>0</v>
      </c>
      <c r="H39" s="34">
        <f t="shared" ref="H39:H60" si="7">IF(E39="TAK",1,0)</f>
        <v>0</v>
      </c>
    </row>
    <row r="40" spans="1:8" ht="15.6" x14ac:dyDescent="0.3">
      <c r="A40" s="293" t="s">
        <v>107</v>
      </c>
      <c r="B40" s="294"/>
      <c r="C40" s="295"/>
      <c r="D40" s="36">
        <f>'Cennik enova365'!B53</f>
        <v>500</v>
      </c>
      <c r="E40" s="37" t="s">
        <v>4</v>
      </c>
      <c r="F40" s="55"/>
      <c r="G40" s="38">
        <f t="shared" si="6"/>
        <v>0</v>
      </c>
      <c r="H40" s="34">
        <f t="shared" si="7"/>
        <v>0</v>
      </c>
    </row>
    <row r="41" spans="1:8" ht="15.6" x14ac:dyDescent="0.3">
      <c r="A41" s="293" t="s">
        <v>108</v>
      </c>
      <c r="B41" s="294"/>
      <c r="C41" s="295"/>
      <c r="D41" s="36">
        <f>'Cennik enova365'!B54</f>
        <v>47</v>
      </c>
      <c r="E41" s="37" t="s">
        <v>4</v>
      </c>
      <c r="F41" s="55"/>
      <c r="G41" s="38">
        <f t="shared" si="6"/>
        <v>0</v>
      </c>
      <c r="H41" s="34">
        <f t="shared" si="7"/>
        <v>0</v>
      </c>
    </row>
    <row r="42" spans="1:8" ht="15.6" x14ac:dyDescent="0.3">
      <c r="A42" s="293" t="s">
        <v>53</v>
      </c>
      <c r="B42" s="294"/>
      <c r="C42" s="295"/>
      <c r="D42" s="36">
        <f>'Cennik enova365'!B55</f>
        <v>133</v>
      </c>
      <c r="E42" s="37" t="s">
        <v>4</v>
      </c>
      <c r="F42" s="55"/>
      <c r="G42" s="38">
        <f t="shared" si="6"/>
        <v>0</v>
      </c>
      <c r="H42" s="34">
        <f t="shared" si="7"/>
        <v>0</v>
      </c>
    </row>
    <row r="43" spans="1:8" ht="15.6" x14ac:dyDescent="0.3">
      <c r="A43" s="293" t="s">
        <v>109</v>
      </c>
      <c r="B43" s="294"/>
      <c r="C43" s="295"/>
      <c r="D43" s="36">
        <f>'Cennik enova365'!B56</f>
        <v>133</v>
      </c>
      <c r="E43" s="37" t="s">
        <v>4</v>
      </c>
      <c r="F43" s="55"/>
      <c r="G43" s="38">
        <f t="shared" si="6"/>
        <v>0</v>
      </c>
      <c r="H43" s="34">
        <f t="shared" si="7"/>
        <v>0</v>
      </c>
    </row>
    <row r="44" spans="1:8" ht="15.6" x14ac:dyDescent="0.3">
      <c r="A44" s="293" t="s">
        <v>105</v>
      </c>
      <c r="B44" s="294"/>
      <c r="C44" s="295"/>
      <c r="D44" s="36">
        <f>'Cennik enova365'!B57</f>
        <v>99</v>
      </c>
      <c r="E44" s="37" t="s">
        <v>4</v>
      </c>
      <c r="F44" s="55"/>
      <c r="G44" s="38">
        <f t="shared" si="6"/>
        <v>0</v>
      </c>
      <c r="H44" s="152">
        <f t="shared" si="7"/>
        <v>0</v>
      </c>
    </row>
    <row r="45" spans="1:8" ht="15.6" x14ac:dyDescent="0.3">
      <c r="A45" s="293" t="s">
        <v>199</v>
      </c>
      <c r="B45" s="294"/>
      <c r="C45" s="295"/>
      <c r="D45" s="36">
        <f>'Cennik enova365'!B58</f>
        <v>59</v>
      </c>
      <c r="E45" s="37" t="s">
        <v>4</v>
      </c>
      <c r="F45" s="55"/>
      <c r="G45" s="38">
        <f t="shared" si="6"/>
        <v>0</v>
      </c>
      <c r="H45" s="152">
        <f t="shared" si="7"/>
        <v>0</v>
      </c>
    </row>
    <row r="46" spans="1:8" ht="15.6" x14ac:dyDescent="0.3">
      <c r="A46" s="293" t="s">
        <v>92</v>
      </c>
      <c r="B46" s="294"/>
      <c r="C46" s="295"/>
      <c r="D46" s="36">
        <f>'Cennik enova365'!B59</f>
        <v>166</v>
      </c>
      <c r="E46" s="37" t="s">
        <v>4</v>
      </c>
      <c r="F46" s="55"/>
      <c r="G46" s="38">
        <f t="shared" si="6"/>
        <v>0</v>
      </c>
      <c r="H46" s="34">
        <f t="shared" si="7"/>
        <v>0</v>
      </c>
    </row>
    <row r="47" spans="1:8" ht="15.6" x14ac:dyDescent="0.3">
      <c r="A47" s="293" t="s">
        <v>47</v>
      </c>
      <c r="B47" s="294"/>
      <c r="C47" s="295"/>
      <c r="D47" s="36">
        <f>'Cennik enova365'!B60</f>
        <v>133</v>
      </c>
      <c r="E47" s="37" t="s">
        <v>4</v>
      </c>
      <c r="F47" s="55"/>
      <c r="G47" s="38">
        <f t="shared" si="6"/>
        <v>0</v>
      </c>
      <c r="H47" s="34">
        <f t="shared" si="7"/>
        <v>0</v>
      </c>
    </row>
    <row r="48" spans="1:8" ht="15.6" x14ac:dyDescent="0.3">
      <c r="A48" s="293" t="s">
        <v>48</v>
      </c>
      <c r="B48" s="294"/>
      <c r="C48" s="295"/>
      <c r="D48" s="36">
        <f>'Cennik enova365'!B61</f>
        <v>146</v>
      </c>
      <c r="E48" s="37" t="s">
        <v>4</v>
      </c>
      <c r="F48" s="55"/>
      <c r="G48" s="38">
        <f t="shared" si="6"/>
        <v>0</v>
      </c>
      <c r="H48" s="34">
        <f t="shared" si="7"/>
        <v>0</v>
      </c>
    </row>
    <row r="49" spans="1:8" ht="15.6" x14ac:dyDescent="0.3">
      <c r="A49" s="293" t="s">
        <v>49</v>
      </c>
      <c r="B49" s="294"/>
      <c r="C49" s="295"/>
      <c r="D49" s="36">
        <f>'Cennik enova365'!B62</f>
        <v>166</v>
      </c>
      <c r="E49" s="37" t="s">
        <v>4</v>
      </c>
      <c r="F49" s="55"/>
      <c r="G49" s="38">
        <f t="shared" si="6"/>
        <v>0</v>
      </c>
      <c r="H49" s="34">
        <f t="shared" si="7"/>
        <v>0</v>
      </c>
    </row>
    <row r="50" spans="1:8" ht="15.6" x14ac:dyDescent="0.3">
      <c r="A50" s="293" t="s">
        <v>50</v>
      </c>
      <c r="B50" s="294"/>
      <c r="C50" s="295"/>
      <c r="D50" s="36">
        <f>'Cennik enova365'!B63</f>
        <v>99</v>
      </c>
      <c r="E50" s="37" t="s">
        <v>4</v>
      </c>
      <c r="F50" s="55"/>
      <c r="G50" s="38">
        <f t="shared" si="6"/>
        <v>0</v>
      </c>
      <c r="H50" s="34">
        <f t="shared" si="7"/>
        <v>0</v>
      </c>
    </row>
    <row r="51" spans="1:8" ht="15.6" x14ac:dyDescent="0.3">
      <c r="A51" s="293" t="s">
        <v>51</v>
      </c>
      <c r="B51" s="294"/>
      <c r="C51" s="295"/>
      <c r="D51" s="36">
        <f>'Cennik enova365'!B64</f>
        <v>99</v>
      </c>
      <c r="E51" s="37" t="s">
        <v>4</v>
      </c>
      <c r="F51" s="55"/>
      <c r="G51" s="38">
        <f t="shared" si="6"/>
        <v>0</v>
      </c>
      <c r="H51" s="34">
        <f t="shared" si="7"/>
        <v>0</v>
      </c>
    </row>
    <row r="52" spans="1:8" ht="15.6" x14ac:dyDescent="0.3">
      <c r="A52" s="293" t="s">
        <v>59</v>
      </c>
      <c r="B52" s="294"/>
      <c r="C52" s="295"/>
      <c r="D52" s="36">
        <f>'Cennik enova365'!B66</f>
        <v>48</v>
      </c>
      <c r="E52" s="37" t="s">
        <v>4</v>
      </c>
      <c r="F52" s="55"/>
      <c r="G52" s="38">
        <f t="shared" si="6"/>
        <v>0</v>
      </c>
      <c r="H52" s="34">
        <f t="shared" si="7"/>
        <v>0</v>
      </c>
    </row>
    <row r="53" spans="1:8" ht="15.6" x14ac:dyDescent="0.3">
      <c r="A53" s="293" t="s">
        <v>110</v>
      </c>
      <c r="B53" s="294"/>
      <c r="C53" s="295"/>
      <c r="D53" s="36">
        <f>'Cennik enova365'!B67</f>
        <v>13</v>
      </c>
      <c r="E53" s="37" t="s">
        <v>4</v>
      </c>
      <c r="F53" s="55"/>
      <c r="G53" s="38">
        <f t="shared" si="6"/>
        <v>0</v>
      </c>
      <c r="H53" s="34">
        <f t="shared" si="7"/>
        <v>0</v>
      </c>
    </row>
    <row r="54" spans="1:8" ht="15.6" x14ac:dyDescent="0.3">
      <c r="A54" s="293" t="s">
        <v>58</v>
      </c>
      <c r="B54" s="294"/>
      <c r="C54" s="295"/>
      <c r="D54" s="36">
        <f>'Cennik enova365'!B68</f>
        <v>133</v>
      </c>
      <c r="E54" s="37" t="s">
        <v>4</v>
      </c>
      <c r="F54" s="55"/>
      <c r="G54" s="38">
        <f t="shared" si="6"/>
        <v>0</v>
      </c>
      <c r="H54" s="34">
        <f t="shared" si="7"/>
        <v>0</v>
      </c>
    </row>
    <row r="55" spans="1:8" ht="15.6" x14ac:dyDescent="0.3">
      <c r="A55" s="293" t="s">
        <v>103</v>
      </c>
      <c r="B55" s="294"/>
      <c r="C55" s="295"/>
      <c r="D55" s="36">
        <f>'Cennik enova365'!B70</f>
        <v>332</v>
      </c>
      <c r="E55" s="37" t="s">
        <v>4</v>
      </c>
      <c r="F55" s="55"/>
      <c r="G55" s="38">
        <f t="shared" si="6"/>
        <v>0</v>
      </c>
      <c r="H55" s="34">
        <f t="shared" si="7"/>
        <v>0</v>
      </c>
    </row>
    <row r="56" spans="1:8" ht="15.6" x14ac:dyDescent="0.3">
      <c r="A56" s="293" t="s">
        <v>200</v>
      </c>
      <c r="B56" s="294"/>
      <c r="C56" s="295"/>
      <c r="D56" s="36">
        <f>'Cennik enova365'!B71</f>
        <v>99</v>
      </c>
      <c r="E56" s="37" t="s">
        <v>4</v>
      </c>
      <c r="F56" s="55"/>
      <c r="G56" s="38">
        <f t="shared" si="6"/>
        <v>0</v>
      </c>
      <c r="H56" s="34">
        <f t="shared" si="7"/>
        <v>0</v>
      </c>
    </row>
    <row r="57" spans="1:8" ht="15.6" x14ac:dyDescent="0.3">
      <c r="A57" s="293" t="s">
        <v>56</v>
      </c>
      <c r="B57" s="294"/>
      <c r="C57" s="295"/>
      <c r="D57" s="36">
        <f>'Cennik enova365'!B72</f>
        <v>59</v>
      </c>
      <c r="E57" s="37" t="s">
        <v>4</v>
      </c>
      <c r="F57" s="55"/>
      <c r="G57" s="38">
        <f t="shared" si="6"/>
        <v>0</v>
      </c>
      <c r="H57" s="34">
        <f t="shared" si="7"/>
        <v>0</v>
      </c>
    </row>
    <row r="58" spans="1:8" ht="15.6" x14ac:dyDescent="0.3">
      <c r="A58" s="293" t="s">
        <v>57</v>
      </c>
      <c r="B58" s="294"/>
      <c r="C58" s="295"/>
      <c r="D58" s="36">
        <f>'Cennik enova365'!B73</f>
        <v>59</v>
      </c>
      <c r="E58" s="37" t="s">
        <v>4</v>
      </c>
      <c r="F58" s="55"/>
      <c r="G58" s="38">
        <f t="shared" si="6"/>
        <v>0</v>
      </c>
      <c r="H58" s="34">
        <f t="shared" si="7"/>
        <v>0</v>
      </c>
    </row>
    <row r="59" spans="1:8" ht="15.6" x14ac:dyDescent="0.3">
      <c r="A59" s="293" t="s">
        <v>75</v>
      </c>
      <c r="B59" s="294"/>
      <c r="C59" s="295"/>
      <c r="D59" s="36">
        <f>'Cennik enova365'!B74</f>
        <v>133</v>
      </c>
      <c r="E59" s="37" t="s">
        <v>4</v>
      </c>
      <c r="F59" s="55"/>
      <c r="G59" s="38">
        <f t="shared" si="6"/>
        <v>0</v>
      </c>
      <c r="H59" s="34">
        <f t="shared" si="7"/>
        <v>0</v>
      </c>
    </row>
    <row r="60" spans="1:8" ht="15.6" x14ac:dyDescent="0.3">
      <c r="A60" s="293" t="s">
        <v>60</v>
      </c>
      <c r="B60" s="294"/>
      <c r="C60" s="295"/>
      <c r="D60" s="36">
        <f>'Cennik enova365'!B75</f>
        <v>99</v>
      </c>
      <c r="E60" s="37" t="s">
        <v>4</v>
      </c>
      <c r="F60" s="55"/>
      <c r="G60" s="38">
        <f t="shared" si="6"/>
        <v>0</v>
      </c>
      <c r="H60" s="34">
        <f t="shared" si="7"/>
        <v>0</v>
      </c>
    </row>
    <row r="61" spans="1:8" ht="15.6" x14ac:dyDescent="0.3">
      <c r="A61" s="293" t="s">
        <v>184</v>
      </c>
      <c r="B61" s="294"/>
      <c r="C61" s="295"/>
      <c r="D61" s="36"/>
      <c r="E61" s="37" t="s">
        <v>2</v>
      </c>
      <c r="F61" s="55"/>
      <c r="G61" s="80" t="s">
        <v>74</v>
      </c>
      <c r="H61" s="34">
        <v>1</v>
      </c>
    </row>
    <row r="62" spans="1:8" ht="15.6" x14ac:dyDescent="0.3">
      <c r="A62" s="306" t="s">
        <v>16</v>
      </c>
      <c r="B62" s="307"/>
      <c r="C62" s="308"/>
      <c r="D62" s="58"/>
      <c r="E62" s="81"/>
      <c r="F62" s="82"/>
      <c r="G62" s="60">
        <f>SUM(G38:G60)</f>
        <v>0</v>
      </c>
      <c r="H62" s="34">
        <f>IF(SUM(H38:H61)&gt;0,1,0)</f>
        <v>1</v>
      </c>
    </row>
    <row r="63" spans="1:8" ht="15.6" x14ac:dyDescent="0.3">
      <c r="A63" s="290" t="s">
        <v>36</v>
      </c>
      <c r="B63" s="291"/>
      <c r="C63" s="292"/>
      <c r="D63" s="92"/>
      <c r="E63" s="90"/>
      <c r="F63" s="96"/>
      <c r="G63" s="93"/>
      <c r="H63" s="34">
        <f>IF(G67&gt;0,1,0)</f>
        <v>0</v>
      </c>
    </row>
    <row r="64" spans="1:8" ht="15.6" x14ac:dyDescent="0.3">
      <c r="A64" s="52"/>
      <c r="B64" s="53"/>
      <c r="C64" s="40" t="s">
        <v>26</v>
      </c>
      <c r="D64" s="40"/>
      <c r="E64" s="54" t="s">
        <v>24</v>
      </c>
      <c r="F64" s="55"/>
      <c r="G64" s="38"/>
      <c r="H64" s="34">
        <f>IF(G67&gt;0,1,0)</f>
        <v>0</v>
      </c>
    </row>
    <row r="65" spans="1:10" ht="15.6" x14ac:dyDescent="0.3">
      <c r="A65" s="56" t="s">
        <v>22</v>
      </c>
      <c r="B65" s="37" t="s">
        <v>4</v>
      </c>
      <c r="C65" s="36">
        <f>'Cennik enova365'!B79</f>
        <v>24</v>
      </c>
      <c r="D65" s="36"/>
      <c r="E65" s="37">
        <v>1</v>
      </c>
      <c r="F65" s="55"/>
      <c r="G65" s="38">
        <f>IF(SUM(E$3:E$17)=0,IF(B65="TAK",C65*E65,0),IF(N$18=0,0,IF(B65="TAK",C65*E65,0)))</f>
        <v>0</v>
      </c>
      <c r="H65" s="34">
        <f t="shared" ref="H65:H67" si="8">IF(G65&gt;0,1,0)</f>
        <v>0</v>
      </c>
    </row>
    <row r="66" spans="1:10" ht="15.6" x14ac:dyDescent="0.3">
      <c r="A66" s="56" t="s">
        <v>23</v>
      </c>
      <c r="B66" s="37" t="s">
        <v>4</v>
      </c>
      <c r="C66" s="36">
        <f>'Cennik enova365'!B80</f>
        <v>48</v>
      </c>
      <c r="D66" s="36"/>
      <c r="E66" s="37">
        <v>1</v>
      </c>
      <c r="F66" s="55"/>
      <c r="G66" s="38">
        <f>IF(AND(B66="TAK",B65="tak"),(IF(E65&lt;5,"1..5 musi być 5",IF(SUM(E$3:E$17)=0,IF(B66="TAK",C66*E66,0),IF(N$18=0,0,IF(B66="TAK",C66*E66,0))))),0)</f>
        <v>0</v>
      </c>
      <c r="H66" s="34">
        <f t="shared" si="8"/>
        <v>0</v>
      </c>
    </row>
    <row r="67" spans="1:10" ht="15.6" x14ac:dyDescent="0.3">
      <c r="A67" s="61" t="s">
        <v>17</v>
      </c>
      <c r="B67" s="57"/>
      <c r="C67" s="58"/>
      <c r="D67" s="58"/>
      <c r="E67" s="57"/>
      <c r="F67" s="59"/>
      <c r="G67" s="60">
        <f>SUM(G65:G66)</f>
        <v>0</v>
      </c>
      <c r="H67" s="34">
        <f t="shared" si="8"/>
        <v>0</v>
      </c>
    </row>
    <row r="68" spans="1:10" ht="15.6" x14ac:dyDescent="0.3">
      <c r="A68" s="62" t="s">
        <v>73</v>
      </c>
      <c r="B68" s="63"/>
      <c r="C68" s="63"/>
      <c r="D68" s="63"/>
      <c r="E68" s="63"/>
      <c r="F68" s="64"/>
      <c r="G68" s="65">
        <f>G18+G33+G36+G62+G67+G24</f>
        <v>0</v>
      </c>
      <c r="H68" s="34">
        <f t="shared" si="2"/>
        <v>0</v>
      </c>
    </row>
    <row r="69" spans="1:10" ht="15.6" x14ac:dyDescent="0.3">
      <c r="A69" s="66"/>
      <c r="B69" s="37" t="s">
        <v>18</v>
      </c>
      <c r="C69" s="142">
        <v>0</v>
      </c>
      <c r="D69" s="143"/>
      <c r="E69" s="37" t="s">
        <v>4</v>
      </c>
      <c r="F69" s="144"/>
      <c r="G69" s="145">
        <f>IF(E69="TAK",(G68-#REF!)*C69,0)</f>
        <v>0</v>
      </c>
      <c r="H69" s="34">
        <f t="shared" si="2"/>
        <v>0</v>
      </c>
    </row>
    <row r="70" spans="1:10" ht="15.6" x14ac:dyDescent="0.3">
      <c r="A70" s="67"/>
      <c r="B70" s="272" t="s">
        <v>19</v>
      </c>
      <c r="C70" s="273"/>
      <c r="D70" s="273"/>
      <c r="E70" s="273"/>
      <c r="F70" s="273"/>
      <c r="G70" s="267">
        <f>G69</f>
        <v>0</v>
      </c>
      <c r="H70" s="34">
        <f t="shared" si="2"/>
        <v>0</v>
      </c>
    </row>
    <row r="71" spans="1:10" ht="15.6" x14ac:dyDescent="0.3">
      <c r="A71" s="290" t="s">
        <v>176</v>
      </c>
      <c r="B71" s="291"/>
      <c r="C71" s="292"/>
      <c r="D71" s="50"/>
      <c r="E71" s="162" t="s">
        <v>35</v>
      </c>
      <c r="F71" s="163"/>
      <c r="G71" s="43"/>
      <c r="H71" s="34">
        <f t="shared" si="2"/>
        <v>0</v>
      </c>
    </row>
    <row r="72" spans="1:10" ht="31.2" x14ac:dyDescent="0.3">
      <c r="A72" s="56" t="s">
        <v>146</v>
      </c>
      <c r="B72" s="261" t="s">
        <v>4</v>
      </c>
      <c r="C72" s="264">
        <f>IF(B72="ROCZNA 
1 stacja weryfikacji",VLOOKUP(E72,'Cennik enova365'!A144:E148,4,FALSE),IF(B72="ROCZNA 
3 stacje weryfikacji",VLOOKUP(E72,'Cennik enova365'!A144:E148,5,FALSE),0))</f>
        <v>0</v>
      </c>
      <c r="D72" s="36"/>
      <c r="E72" s="166" t="s">
        <v>154</v>
      </c>
      <c r="F72" s="55"/>
      <c r="G72" s="268">
        <f>C72</f>
        <v>0</v>
      </c>
      <c r="H72" s="34">
        <f t="shared" si="2"/>
        <v>0</v>
      </c>
      <c r="J72" s="285" t="s">
        <v>180</v>
      </c>
    </row>
    <row r="73" spans="1:10" ht="31.2" x14ac:dyDescent="0.3">
      <c r="A73" s="56" t="s">
        <v>147</v>
      </c>
      <c r="B73" s="261" t="str">
        <f>B72</f>
        <v>NIE</v>
      </c>
      <c r="C73" s="264">
        <f>IF(B73="ROCZNA 
1 stacja weryfikacji",VLOOKUP(E73,'Cennik enova365'!A158:E161,4,FALSE),IF(B73="ROCZNA 
3 stacje weryfikacji",VLOOKUP(E73,'Cennik enova365'!A158:E161,5,FALSE),0))</f>
        <v>0</v>
      </c>
      <c r="D73" s="36"/>
      <c r="E73" s="166" t="str">
        <f>E72</f>
        <v>5 000 stron rocznie</v>
      </c>
      <c r="F73" s="55"/>
      <c r="G73" s="268">
        <f>C73</f>
        <v>0</v>
      </c>
      <c r="H73" s="34">
        <f t="shared" si="2"/>
        <v>0</v>
      </c>
      <c r="J73" s="285"/>
    </row>
    <row r="74" spans="1:10" ht="15.6" x14ac:dyDescent="0.3">
      <c r="A74" s="262" t="s">
        <v>153</v>
      </c>
      <c r="B74" s="57"/>
      <c r="C74" s="58"/>
      <c r="D74" s="58"/>
      <c r="E74" s="57"/>
      <c r="F74" s="59"/>
      <c r="G74" s="60">
        <f>SUM(G72:G73)</f>
        <v>0</v>
      </c>
      <c r="H74" s="34">
        <f t="shared" si="2"/>
        <v>0</v>
      </c>
    </row>
    <row r="75" spans="1:10" ht="15.6" x14ac:dyDescent="0.3">
      <c r="A75" s="98" t="s">
        <v>20</v>
      </c>
      <c r="B75" s="102"/>
      <c r="C75" s="102"/>
      <c r="D75" s="102"/>
      <c r="E75" s="102"/>
      <c r="F75" s="103"/>
      <c r="G75" s="101">
        <f>(G68-G70)+G74</f>
        <v>0</v>
      </c>
      <c r="H75" s="34">
        <f t="shared" si="2"/>
        <v>0</v>
      </c>
    </row>
    <row r="76" spans="1:10" ht="15.6" x14ac:dyDescent="0.3">
      <c r="A76" s="98" t="s">
        <v>21</v>
      </c>
      <c r="B76" s="99"/>
      <c r="C76" s="99"/>
      <c r="D76" s="99"/>
      <c r="E76" s="99"/>
      <c r="F76" s="100"/>
      <c r="G76" s="101">
        <f>G75*1.23</f>
        <v>0</v>
      </c>
      <c r="H76" s="34">
        <f t="shared" si="2"/>
        <v>0</v>
      </c>
    </row>
    <row r="77" spans="1:10" x14ac:dyDescent="0.3">
      <c r="A77" s="69" t="s">
        <v>86</v>
      </c>
      <c r="B77" s="83"/>
      <c r="C77" s="70"/>
      <c r="D77" s="34"/>
      <c r="E77" s="34"/>
      <c r="F77" s="34"/>
      <c r="G77" s="34"/>
      <c r="H77" s="34">
        <v>1</v>
      </c>
    </row>
    <row r="78" spans="1:10" x14ac:dyDescent="0.3">
      <c r="A78" s="69" t="s">
        <v>87</v>
      </c>
      <c r="B78" s="83"/>
      <c r="C78" s="70"/>
      <c r="D78" s="34"/>
      <c r="E78" s="34"/>
      <c r="F78" s="34"/>
      <c r="G78" s="34"/>
      <c r="H78" s="34">
        <v>1</v>
      </c>
    </row>
    <row r="79" spans="1:10" x14ac:dyDescent="0.3">
      <c r="A79" s="71" t="s">
        <v>88</v>
      </c>
      <c r="B79" s="84"/>
      <c r="C79" s="72"/>
      <c r="D79" s="34"/>
      <c r="E79" s="34"/>
      <c r="F79" s="34"/>
      <c r="G79" s="34"/>
      <c r="H79" s="34">
        <v>1</v>
      </c>
    </row>
  </sheetData>
  <autoFilter ref="H1:H90"/>
  <dataConsolidate/>
  <mergeCells count="37">
    <mergeCell ref="A52:C52"/>
    <mergeCell ref="A53:C53"/>
    <mergeCell ref="A54:C54"/>
    <mergeCell ref="A60:C60"/>
    <mergeCell ref="A47:C47"/>
    <mergeCell ref="A48:C48"/>
    <mergeCell ref="A49:C49"/>
    <mergeCell ref="A50:C50"/>
    <mergeCell ref="A51:C51"/>
    <mergeCell ref="A41:C41"/>
    <mergeCell ref="A42:C42"/>
    <mergeCell ref="A43:C43"/>
    <mergeCell ref="A44:C44"/>
    <mergeCell ref="A46:C46"/>
    <mergeCell ref="A45:C45"/>
    <mergeCell ref="A2:C2"/>
    <mergeCell ref="A19:C19"/>
    <mergeCell ref="A25:C25"/>
    <mergeCell ref="A18:B18"/>
    <mergeCell ref="A36:B36"/>
    <mergeCell ref="A30:B30"/>
    <mergeCell ref="A33:B33"/>
    <mergeCell ref="A38:C38"/>
    <mergeCell ref="A39:C39"/>
    <mergeCell ref="A40:C40"/>
    <mergeCell ref="A31:C31"/>
    <mergeCell ref="A34:C34"/>
    <mergeCell ref="A37:C37"/>
    <mergeCell ref="A71:C71"/>
    <mergeCell ref="A63:C63"/>
    <mergeCell ref="A61:C61"/>
    <mergeCell ref="A55:C55"/>
    <mergeCell ref="A57:C57"/>
    <mergeCell ref="A58:C58"/>
    <mergeCell ref="A59:C59"/>
    <mergeCell ref="A62:C62"/>
    <mergeCell ref="A56:C56"/>
  </mergeCells>
  <dataValidations xWindow="430" yWindow="457" count="12">
    <dataValidation allowBlank="1" showInputMessage="1" showErrorMessage="1" prompt="wpisz wartość rabatu" sqref="C69"/>
    <dataValidation allowBlank="1" showInputMessage="1" showErrorMessage="1" prompt="wpisz liczbę baz" sqref="E32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27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27"/>
    <dataValidation allowBlank="1" showErrorMessage="1" prompt="wpisz liczbę baz" sqref="F32"/>
    <dataValidation allowBlank="1" showErrorMessage="1" sqref="F35 F65:F66"/>
    <dataValidation allowBlank="1" showErrorMessage="1" prompt="zaznacz odpowiednią opcję" sqref="E61:F61 F69 F39:F43 F46:F60"/>
    <dataValidation allowBlank="1" showErrorMessage="1" prompt="wpisz wartość rabatu" sqref="D69"/>
    <dataValidation allowBlank="1" showInputMessage="1" showErrorMessage="1" prompt="można dokupić jeżeli na licencji jest już min. jedno stanowsiko dowolnego modułu samodzielnego min. w wersji srebrnej (patrz powyżej zaznaczone na zielono)" sqref="E7"/>
    <dataValidation allowBlank="1" showInputMessage="1" showErrorMessage="1" prompt="wymaga: Księgi Podatkowej lub Księgi Handlowej" sqref="E8"/>
    <dataValidation allowBlank="1" showInputMessage="1" showErrorMessage="1" prompt="na licencji musi być inny, dowolny moduł, którego działanie chcemy oprocesować" sqref="E12"/>
    <dataValidation allowBlank="1" showInputMessage="1" showErrorMessage="1" prompt="wymaga: Ewidencji Środków pieniężnych, dowolny moduł samodzielny min. w wersji srebrnej (patrz powyżej zaznaczone na zielono)" sqref="E15:E16"/>
  </dataValidations>
  <pageMargins left="0.7" right="0.7" top="0.75" bottom="0.75" header="0.3" footer="0.3"/>
  <pageSetup paperSize="9" orientation="portrait" r:id="rId1"/>
  <ignoredErrors>
    <ignoredError sqref="H64 G16:G17 H19:H31 G22:G23 H34 G19:G20 G27 G14" formula="1"/>
    <ignoredError sqref="D26 D35 D28 C27:D27" twoDigitTextYear="1"/>
    <ignoredError sqref="G21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xWindow="430" yWindow="457" count="24">
        <x14:dataValidation type="list" allowBlank="1" showInputMessage="1" showErrorMessage="1" prompt="wybierz przedział">
          <x14:formula1>
            <xm:f>'Cennik enova365'!$A$108:$A$113</xm:f>
          </x14:formula1>
          <xm:sqref>E28</xm:sqref>
        </x14:dataValidation>
        <x14:dataValidation type="list" allowBlank="1" showInputMessage="1" showErrorMessage="1" prompt="wybierz wersję">
          <x14:formula1>
            <xm:f>'Cennik enova365'!$K$2:$K$4</xm:f>
          </x14:formula1>
          <xm:sqref>B3 B6:B7 B9:B10</xm:sqref>
        </x14:dataValidation>
        <x14:dataValidation type="list" allowBlank="1" showInputMessage="1" showErrorMessage="1" prompt="wybierz wersję">
          <x14:formula1>
            <xm:f>'Cennik enova365'!$L$2:$L$3</xm:f>
          </x14:formula1>
          <xm:sqref>B4</xm:sqref>
        </x14:dataValidation>
        <x14:dataValidation type="list" allowBlank="1" showInputMessage="1" showErrorMessage="1">
          <x14:formula1>
            <xm:f>'Cennik enova365'!$K$14:$K$15</xm:f>
          </x14:formula1>
          <xm:sqref>B32 B26:B29 F23 E69 B65:B66 B35</xm:sqref>
        </x14:dataValidation>
        <x14:dataValidation type="list" allowBlank="1" showInputMessage="1" showErrorMessage="1" prompt="wybierz wersję">
          <x14:formula1>
            <xm:f>'Cennik enova365'!$K$3:$K$4</xm:f>
          </x14:formula1>
          <xm:sqref>B5 B8 B11:B13 B15:B17</xm:sqref>
        </x14:dataValidation>
        <x14:dataValidation type="list" allowBlank="1" showInputMessage="1" showErrorMessage="1">
          <x14:formula1>
            <xm:f>'Cennik enova365'!$K$18:$K$22</xm:f>
          </x14:formula1>
          <xm:sqref>E65</xm:sqref>
        </x14:dataValidation>
        <x14:dataValidation type="list" allowBlank="1" showInputMessage="1" showErrorMessage="1" prompt="wskaż przedział (ilu klientów biura ma korzystać z tego Pulpitu)">
          <x14:formula1>
            <xm:f>'Cennik enova365'!$A$116:$A$119</xm:f>
          </x14:formula1>
          <xm:sqref>E35</xm:sqref>
        </x14:dataValidation>
        <x14:dataValidation type="list" allowBlank="1" showInputMessage="1" showErrorMessage="1">
          <x14:formula1>
            <xm:f>'Cennik enova365'!$K$25:$K$34</xm:f>
          </x14:formula1>
          <xm:sqref>E66</xm:sqref>
        </x14:dataValidation>
        <x14:dataValidation type="list" allowBlank="1" showInputMessage="1" showErrorMessage="1" prompt="wymaga:_x000a_Faktury min. złote_x000a_lub Handel min. złoty">
          <x14:formula1>
            <xm:f>'Cennik enova365'!$K$14:$K$15</xm:f>
          </x14:formula1>
          <xm:sqref>E22:F22</xm:sqref>
        </x14:dataValidation>
        <x14:dataValidation type="list" allowBlank="1" showInputMessage="1" showErrorMessage="1" prompt="wymaga:_x000a_Księga Handlowa min. złota_x000a_lub Księga Podatkowa">
          <x14:formula1>
            <xm:f>'Cennik enova365'!$K$14:$K$15</xm:f>
          </x14:formula1>
          <xm:sqref>E21:F21 E50:E51</xm:sqref>
        </x14:dataValidation>
        <x14:dataValidation type="list" allowBlank="1" showInputMessage="1" showErrorMessage="1" prompt="wymaga:_x000a_Kadry Płace min. złote">
          <x14:formula1>
            <xm:f>'Cennik enova365'!$K$14:$K$15</xm:f>
          </x14:formula1>
          <xm:sqref>E20:F20 E38:E43 E45</xm:sqref>
        </x14:dataValidation>
        <x14:dataValidation type="list" allowBlank="1" showInputMessage="1" showErrorMessage="1" prompt="wymaga:_x000a_Faktury min. srebrne_x000a_lub Handel min. srebrny">
          <x14:formula1>
            <xm:f>'Cennik enova365'!$K$14:$K$15</xm:f>
          </x14:formula1>
          <xm:sqref>E54</xm:sqref>
        </x14:dataValidation>
        <x14:dataValidation type="list" allowBlank="1" showInputMessage="1" showErrorMessage="1" prompt="dowolny moduł min. w wersji srebrnej">
          <x14:formula1>
            <xm:f>'Cennik enova365'!$K$14:$K$15</xm:f>
          </x14:formula1>
          <xm:sqref>E53</xm:sqref>
        </x14:dataValidation>
        <x14:dataValidation type="list" allowBlank="1" showInputMessage="1" showErrorMessage="1" prompt="wymaga:_x000a_Faktury min. srebrne_x000a_lub Handel min. srebrny_x000a_">
          <x14:formula1>
            <xm:f>'Cennik enova365'!$K$14:$K$15</xm:f>
          </x14:formula1>
          <xm:sqref>E52</xm:sqref>
        </x14:dataValidation>
        <x14:dataValidation type="list" allowBlank="1" showInputMessage="1" showErrorMessage="1" prompt="wymaga:_x000a_Księga Handlowa min. złota">
          <x14:formula1>
            <xm:f>'Cennik enova365'!$K$14:$K$15</xm:f>
          </x14:formula1>
          <xm:sqref>E46:E47</xm:sqref>
        </x14:dataValidation>
        <x14:dataValidation type="list" allowBlank="1" showInputMessage="1" showErrorMessage="1" prompt="wymaga:_x000a_Kadry Płace min. złote i Handel min. złoty">
          <x14:formula1>
            <xm:f>'Cennik enova365'!$K$14:$K$15</xm:f>
          </x14:formula1>
          <xm:sqref>E44</xm:sqref>
        </x14:dataValidation>
        <x14:dataValidation type="list" allowBlank="1" showInputMessage="1" showErrorMessage="1" prompt="wymaga:_x000a_CRM min. złoty_x000a_lub Projekty min. złote">
          <x14:formula1>
            <xm:f>'Cennik enova365'!$K$14:$K$15</xm:f>
          </x14:formula1>
          <xm:sqref>E58</xm:sqref>
        </x14:dataValidation>
        <x14:dataValidation type="list" allowBlank="1" showInputMessage="1" showErrorMessage="1" prompt="Wymaga modułów: _x000a_Workflow platyna_x000a_DMS platyna _x000a_Harmonogram Zadań_x000a_Integracja OCR">
          <x14:formula1>
            <xm:f>'Cennik enova365'!$L$14:$L$16</xm:f>
          </x14:formula1>
          <xm:sqref>B72</xm:sqref>
        </x14:dataValidation>
        <x14:dataValidation type="list" allowBlank="1" showInputMessage="1" showErrorMessage="1">
          <x14:formula1>
            <xm:f>'Cennik enova365'!$A$151:$A$155</xm:f>
          </x14:formula1>
          <xm:sqref>E72</xm:sqref>
        </x14:dataValidation>
        <x14:dataValidation type="list" allowBlank="1" showInputMessage="1" showErrorMessage="1" prompt="dowolny moduł min. w wersji złotej_x000a_(przynajmniej jedno, dowolne stanowsiko w ramach licencji Klienta musi być złote)">
          <x14:formula1>
            <xm:f>'Cennik enova365'!$K$14:$K$15</xm:f>
          </x14:formula1>
          <xm:sqref>E23 E59:E60 E57</xm:sqref>
        </x14:dataValidation>
        <x14:dataValidation type="list" allowBlank="1" showInputMessage="1" showErrorMessage="1" prompt="wybierz przedział">
          <x14:formula1>
            <xm:f>'Cennik enova365'!$A$84:$A$89</xm:f>
          </x14:formula1>
          <xm:sqref>E26</xm:sqref>
        </x14:dataValidation>
        <x14:dataValidation type="list" allowBlank="1" showInputMessage="1" showErrorMessage="1" prompt="dowolny moduł samodzielny min. w wersji srebrnej_x000a_(patrz powyżej zaznaczone na zielono)">
          <x14:formula1>
            <xm:f>'Cennik enova365'!$K$14:$K$15</xm:f>
          </x14:formula1>
          <xm:sqref>E48:E49</xm:sqref>
        </x14:dataValidation>
        <x14:dataValidation type="list" allowBlank="1" showInputMessage="1" showErrorMessage="1" prompt="dowolny moduł min. w wersji złotej_x000a_(przynajmniej jedno, dowolne stanowsiko w ramach licencji Klienta musi być multi)">
          <x14:formula1>
            <xm:f>'Cennik enova365'!$K$14:$K$15</xm:f>
          </x14:formula1>
          <xm:sqref>E55</xm:sqref>
        </x14:dataValidation>
        <x14:dataValidation type="list" allowBlank="1" showInputMessage="1" showErrorMessage="1" prompt="wymaga:_x000a_Handel min. złoty">
          <x14:formula1>
            <xm:f>'Cennik enova365'!$K$14:$K$15</xm:f>
          </x14:formula1>
          <xm:sqref>E56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59" zoomScale="80" zoomScaleNormal="80" workbookViewId="0">
      <selection activeCell="E76" sqref="E76"/>
    </sheetView>
  </sheetViews>
  <sheetFormatPr defaultColWidth="9.109375" defaultRowHeight="14.4" x14ac:dyDescent="0.3"/>
  <cols>
    <col min="1" max="1" width="46.6640625" style="12" customWidth="1"/>
    <col min="2" max="2" width="19" style="12" customWidth="1"/>
    <col min="3" max="3" width="16.88671875" style="12" customWidth="1"/>
    <col min="4" max="4" width="17.33203125" style="12" customWidth="1"/>
    <col min="5" max="5" width="17.6640625" style="12" customWidth="1"/>
    <col min="6" max="6" width="11.109375" style="12" customWidth="1"/>
    <col min="7" max="7" width="20" style="12" customWidth="1"/>
    <col min="8" max="8" width="11.44140625" style="12" customWidth="1"/>
    <col min="9" max="9" width="9.109375" style="12"/>
    <col min="10" max="10" width="86.33203125" style="12" bestFit="1" customWidth="1"/>
    <col min="11" max="11" width="12.6640625" style="12" customWidth="1"/>
    <col min="12" max="12" width="9.109375" style="12"/>
    <col min="13" max="14" width="2" style="12" hidden="1" customWidth="1"/>
    <col min="15" max="16384" width="9.109375" style="12"/>
  </cols>
  <sheetData>
    <row r="1" spans="1:13" ht="78" x14ac:dyDescent="0.3">
      <c r="A1" s="25" t="s">
        <v>12</v>
      </c>
      <c r="B1" s="26" t="s">
        <v>61</v>
      </c>
      <c r="C1" s="27" t="s">
        <v>89</v>
      </c>
      <c r="D1" s="27" t="s">
        <v>90</v>
      </c>
      <c r="E1" s="28" t="s">
        <v>168</v>
      </c>
      <c r="F1" s="277" t="s">
        <v>91</v>
      </c>
      <c r="G1" s="29" t="s">
        <v>14</v>
      </c>
      <c r="H1" s="129" t="s">
        <v>25</v>
      </c>
      <c r="J1" s="280" t="s">
        <v>170</v>
      </c>
    </row>
    <row r="2" spans="1:13" ht="15.6" x14ac:dyDescent="0.3">
      <c r="A2" s="299" t="s">
        <v>173</v>
      </c>
      <c r="B2" s="300"/>
      <c r="C2" s="301"/>
      <c r="D2" s="85"/>
      <c r="E2" s="85"/>
      <c r="F2" s="85"/>
      <c r="G2" s="86"/>
      <c r="H2" s="34">
        <f>IF(G18&gt;0,1,0)</f>
        <v>0</v>
      </c>
    </row>
    <row r="3" spans="1:13" ht="15.6" x14ac:dyDescent="0.3">
      <c r="A3" s="278" t="s">
        <v>137</v>
      </c>
      <c r="B3" s="37" t="s">
        <v>5</v>
      </c>
      <c r="C3" s="36">
        <f>IF(B3="srebro",'Cennik enova365'!B34,IF(B3="złoto",'Cennik enova365'!D34,IF(B3= "platyna",'Cennik enova365'!F34,)))</f>
        <v>449</v>
      </c>
      <c r="D3" s="36">
        <f>IF(B3="srebro",'Cennik enova365'!C34,IF(B3="złoto",'Cennik enova365'!E34,IF(B3= "platyna",'Cennik enova365'!G34,)))</f>
        <v>516</v>
      </c>
      <c r="E3" s="37">
        <v>0</v>
      </c>
      <c r="F3" s="37">
        <v>0</v>
      </c>
      <c r="G3" s="38">
        <f t="shared" ref="G3:G13" si="0">IF(F3=0,C3*E3,IF(OR(AND(E3=0,F3&lt;&gt;0),F3&gt;E3),"błąd",((E3-F3)*C3)+(D3*F3)))</f>
        <v>0</v>
      </c>
      <c r="H3" s="34">
        <f>IF(G3&gt;0,1,0)</f>
        <v>0</v>
      </c>
      <c r="M3" s="12">
        <f t="shared" ref="M3:M17" si="1">IF(AND(OR(B3="złoto",B3="srebro"),E3&gt;0),1,0)</f>
        <v>0</v>
      </c>
    </row>
    <row r="4" spans="1:13" ht="15.6" customHeight="1" x14ac:dyDescent="0.3">
      <c r="A4" s="278" t="s">
        <v>138</v>
      </c>
      <c r="B4" s="37" t="s">
        <v>5</v>
      </c>
      <c r="C4" s="36">
        <f>IF(B4="srebro",'Cennik enova365'!B35,IF(B4="złoto",'Cennik enova365'!D35,IF(B4= "platyna",'Cennik enova365'!F35,)))</f>
        <v>84</v>
      </c>
      <c r="D4" s="36">
        <f>IF(B4="srebro",'Cennik enova365'!C35,IF(B4="złoto",'Cennik enova365'!E35,IF(B4= "platyna",'Cennik enova365'!G35,)))</f>
        <v>97</v>
      </c>
      <c r="E4" s="37">
        <v>0</v>
      </c>
      <c r="F4" s="37">
        <v>0</v>
      </c>
      <c r="G4" s="38">
        <f t="shared" si="0"/>
        <v>0</v>
      </c>
      <c r="H4" s="34">
        <f t="shared" ref="H4:H79" si="2">IF(G4&gt;0,1,0)</f>
        <v>0</v>
      </c>
      <c r="J4" s="280"/>
      <c r="K4" s="280"/>
      <c r="L4" s="280"/>
      <c r="M4" s="280"/>
    </row>
    <row r="5" spans="1:13" ht="15.6" x14ac:dyDescent="0.3">
      <c r="A5" s="278" t="s">
        <v>139</v>
      </c>
      <c r="B5" s="37" t="s">
        <v>5</v>
      </c>
      <c r="C5" s="36">
        <f>IF(B5="srebro",'Cennik enova365'!B36,IF(B5="złoto",'Cennik enova365'!D36,IF(B5= "platyna",'Cennik enova365'!F36,)))</f>
        <v>399</v>
      </c>
      <c r="D5" s="36">
        <f>IF(B5="srebro",'Cennik enova365'!C36,IF(B5="złoto",'Cennik enova365'!E36,IF(B5= "platyna",'Cennik enova365'!G36,)))</f>
        <v>459</v>
      </c>
      <c r="E5" s="37">
        <v>0</v>
      </c>
      <c r="F5" s="37">
        <v>0</v>
      </c>
      <c r="G5" s="38">
        <f t="shared" si="0"/>
        <v>0</v>
      </c>
      <c r="H5" s="34">
        <f t="shared" si="2"/>
        <v>0</v>
      </c>
      <c r="J5" s="280"/>
      <c r="K5" s="280"/>
      <c r="L5" s="280"/>
      <c r="M5" s="280"/>
    </row>
    <row r="6" spans="1:13" ht="15.6" x14ac:dyDescent="0.3">
      <c r="A6" s="278" t="s">
        <v>140</v>
      </c>
      <c r="B6" s="37" t="s">
        <v>5</v>
      </c>
      <c r="C6" s="36">
        <f>IF(B6="srebro",'Cennik enova365'!B37,IF(B6="złoto",'Cennik enova365'!D37,IF(B6= "platyna",'Cennik enova365'!F37,)))</f>
        <v>200</v>
      </c>
      <c r="D6" s="36">
        <f>IF(B6="srebro",'Cennik enova365'!C37,IF(B6="złoto",'Cennik enova365'!E37,IF(B6= "platyna",'Cennik enova365'!G37,)))</f>
        <v>230</v>
      </c>
      <c r="E6" s="37">
        <v>0</v>
      </c>
      <c r="F6" s="37">
        <v>0</v>
      </c>
      <c r="G6" s="38">
        <f t="shared" si="0"/>
        <v>0</v>
      </c>
      <c r="H6" s="34">
        <f t="shared" si="2"/>
        <v>0</v>
      </c>
      <c r="J6" s="286" t="str">
        <f>IF(B6="platyna"," ",IF(AND(E4+F4&gt;0,E5+F5&gt;0,B6&lt;&gt;B5),"w tej konfiguracji Ks. Inwentarzowa musi mieć taki sam kolor jak Ks. Handlowa",IF(E6+F6=0," ",IF(AND(E5+F5&gt;0,B6&lt;&gt;B5),"Ks. Inwentarzowa musi mieć taki sam kolor jak Ks. Handlowa",IF(AND(E4+F4&gt;0,E5+F5=0,B4&lt;&gt;B6),"Ks. Inwentarzowa musi mieć taki sam kolor jak Ks. Podatkowa"," ")))))</f>
        <v xml:space="preserve"> </v>
      </c>
      <c r="K6" s="280"/>
      <c r="L6" s="280"/>
      <c r="M6" s="280"/>
    </row>
    <row r="7" spans="1:13" ht="31.2" x14ac:dyDescent="0.3">
      <c r="A7" s="193" t="s">
        <v>119</v>
      </c>
      <c r="B7" s="37" t="s">
        <v>5</v>
      </c>
      <c r="C7" s="36">
        <f>IF(B7="srebro",'Cennik enova365'!B38,IF(B7="złoto",'Cennik enova365'!D38,IF(B7= "platyna",'Cennik enova365'!F38,)))</f>
        <v>32</v>
      </c>
      <c r="D7" s="36">
        <f>IF(B7="srebro",'Cennik enova365'!C38,IF(B7="złoto",'Cennik enova365'!E38,IF(B7= "platyna",'Cennik enova365'!G38,)))</f>
        <v>40</v>
      </c>
      <c r="E7" s="37">
        <v>0</v>
      </c>
      <c r="F7" s="37">
        <v>0</v>
      </c>
      <c r="G7" s="38">
        <f t="shared" si="0"/>
        <v>0</v>
      </c>
      <c r="H7" s="34">
        <f t="shared" si="2"/>
        <v>0</v>
      </c>
      <c r="J7" s="280"/>
      <c r="K7" s="280"/>
      <c r="L7" s="280"/>
      <c r="M7" s="280"/>
    </row>
    <row r="8" spans="1:13" ht="15.6" x14ac:dyDescent="0.3">
      <c r="A8" s="193" t="s">
        <v>102</v>
      </c>
      <c r="B8" s="37" t="s">
        <v>5</v>
      </c>
      <c r="C8" s="36">
        <f>IF(B8="srebro",'Cennik enova365'!B39,IF(B8="złoto",'Cennik enova365'!D39,IF(B8= "platyna",'Cennik enova365'!F39,)))</f>
        <v>71</v>
      </c>
      <c r="D8" s="36">
        <f>IF(B8="srebro",'Cennik enova365'!C39,IF(B8="złoto",'Cennik enova365'!E39,IF(B8= "platyna",'Cennik enova365'!G39,)))</f>
        <v>85</v>
      </c>
      <c r="E8" s="37">
        <v>0</v>
      </c>
      <c r="F8" s="37">
        <v>0</v>
      </c>
      <c r="G8" s="38">
        <f t="shared" si="0"/>
        <v>0</v>
      </c>
      <c r="H8" s="34">
        <f t="shared" si="2"/>
        <v>0</v>
      </c>
      <c r="J8" s="280"/>
      <c r="K8" s="280"/>
      <c r="L8" s="280"/>
      <c r="M8" s="280"/>
    </row>
    <row r="9" spans="1:13" ht="15.6" x14ac:dyDescent="0.3">
      <c r="A9" s="278" t="s">
        <v>113</v>
      </c>
      <c r="B9" s="37" t="s">
        <v>5</v>
      </c>
      <c r="C9" s="36">
        <f>IF(B9="srebro",'Cennik enova365'!B40,IF(B9="złoto",'Cennik enova365'!D40,IF(B9= "platyna",'Cennik enova365'!F40,)))</f>
        <v>120</v>
      </c>
      <c r="D9" s="36">
        <f>IF(B9="srebro",'Cennik enova365'!C40,IF(B9="złoto",'Cennik enova365'!E40,IF(B9= "platyna",'Cennik enova365'!G40,)))</f>
        <v>138</v>
      </c>
      <c r="E9" s="37">
        <v>0</v>
      </c>
      <c r="F9" s="37">
        <v>0</v>
      </c>
      <c r="G9" s="38">
        <f t="shared" si="0"/>
        <v>0</v>
      </c>
      <c r="H9" s="34">
        <f t="shared" si="2"/>
        <v>0</v>
      </c>
      <c r="M9" s="12">
        <f t="shared" si="1"/>
        <v>0</v>
      </c>
    </row>
    <row r="10" spans="1:13" ht="15.6" x14ac:dyDescent="0.3">
      <c r="A10" s="278" t="s">
        <v>196</v>
      </c>
      <c r="B10" s="37" t="s">
        <v>5</v>
      </c>
      <c r="C10" s="36">
        <f>IF(B10="srebro",'Cennik enova365'!B41,IF(B10="złoto",'Cennik enova365'!D41,IF(B10= "platyna",'Cennik enova365'!F41,)))</f>
        <v>206</v>
      </c>
      <c r="D10" s="36">
        <f>IF(B10="srebro",'Cennik enova365'!C41,IF(B10="złoto",'Cennik enova365'!E41,IF(B10= "platyna",'Cennik enova365'!G41,)))</f>
        <v>237</v>
      </c>
      <c r="E10" s="37">
        <v>0</v>
      </c>
      <c r="F10" s="37">
        <v>0</v>
      </c>
      <c r="G10" s="38">
        <f t="shared" si="0"/>
        <v>0</v>
      </c>
      <c r="H10" s="34">
        <f t="shared" si="2"/>
        <v>0</v>
      </c>
    </row>
    <row r="11" spans="1:13" ht="15.6" x14ac:dyDescent="0.3">
      <c r="A11" s="278" t="s">
        <v>197</v>
      </c>
      <c r="B11" s="37" t="s">
        <v>5</v>
      </c>
      <c r="C11" s="36">
        <f>IF(B11="srebro",'Cennik enova365'!B42,IF(B11="złoto",'Cennik enova365'!D42,IF(B11= "platyna",'Cennik enova365'!F42,)))</f>
        <v>360</v>
      </c>
      <c r="D11" s="36">
        <f>IF(B11="srebro",'Cennik enova365'!C42,IF(B11="złoto",'Cennik enova365'!E42,IF(B11= "platyna",'Cennik enova365'!G42,)))</f>
        <v>414</v>
      </c>
      <c r="E11" s="37">
        <v>0</v>
      </c>
      <c r="F11" s="37">
        <v>0</v>
      </c>
      <c r="G11" s="38">
        <f t="shared" si="0"/>
        <v>0</v>
      </c>
      <c r="H11" s="34">
        <f t="shared" si="2"/>
        <v>0</v>
      </c>
    </row>
    <row r="12" spans="1:13" ht="15.6" x14ac:dyDescent="0.3">
      <c r="A12" s="56" t="s">
        <v>141</v>
      </c>
      <c r="B12" s="37" t="s">
        <v>5</v>
      </c>
      <c r="C12" s="36">
        <f>IF(B12="srebro",'Cennik enova365'!B43,IF(B12="złoto",'Cennik enova365'!D43,IF(B12= "platyna",'Cennik enova365'!F43,)))</f>
        <v>40</v>
      </c>
      <c r="D12" s="36">
        <f>IF(B12="srebro",'Cennik enova365'!C43,IF(B12="złoto",'Cennik enova365'!E43,IF(B12= "platyna",'Cennik enova365'!G43,)))</f>
        <v>40</v>
      </c>
      <c r="E12" s="37">
        <v>0</v>
      </c>
      <c r="F12" s="37">
        <v>0</v>
      </c>
      <c r="G12" s="38">
        <f t="shared" si="0"/>
        <v>0</v>
      </c>
      <c r="H12" s="34">
        <f t="shared" si="2"/>
        <v>0</v>
      </c>
      <c r="M12" s="12">
        <f t="shared" si="1"/>
        <v>0</v>
      </c>
    </row>
    <row r="13" spans="1:13" ht="15.6" x14ac:dyDescent="0.3">
      <c r="A13" s="56" t="s">
        <v>142</v>
      </c>
      <c r="B13" s="37" t="s">
        <v>5</v>
      </c>
      <c r="C13" s="36">
        <f>IF(B13="srebro",'Cennik enova365'!B44,IF(B13="złoto",'Cennik enova365'!D44,IF(B13= "platyna",'Cennik enova365'!F44,)))</f>
        <v>32</v>
      </c>
      <c r="D13" s="36">
        <f>IF(B13="srebro",'Cennik enova365'!C44,IF(B13="złoto",'Cennik enova365'!E44,IF(B13= "platyna",'Cennik enova365'!G44,)))</f>
        <v>32</v>
      </c>
      <c r="E13" s="37">
        <v>0</v>
      </c>
      <c r="F13" s="37">
        <v>0</v>
      </c>
      <c r="G13" s="38">
        <f t="shared" si="0"/>
        <v>0</v>
      </c>
      <c r="H13" s="34">
        <f t="shared" si="2"/>
        <v>0</v>
      </c>
      <c r="K13" s="173"/>
      <c r="M13" s="12">
        <f t="shared" si="1"/>
        <v>0</v>
      </c>
    </row>
    <row r="14" spans="1:13" ht="15.6" x14ac:dyDescent="0.3">
      <c r="A14" s="56" t="s">
        <v>143</v>
      </c>
      <c r="B14" s="36"/>
      <c r="C14" s="36">
        <f>'Cennik enova365'!D45</f>
        <v>199</v>
      </c>
      <c r="D14" s="36"/>
      <c r="E14" s="36"/>
      <c r="F14" s="36"/>
      <c r="G14" s="38">
        <f>IF(OR((AND(B12="platyna",E12&gt;0)),E13&gt;0),C14,0)</f>
        <v>0</v>
      </c>
      <c r="H14" s="34">
        <f t="shared" si="2"/>
        <v>0</v>
      </c>
      <c r="K14" s="173"/>
      <c r="M14" s="12">
        <f t="shared" si="1"/>
        <v>0</v>
      </c>
    </row>
    <row r="15" spans="1:13" ht="15.6" x14ac:dyDescent="0.3">
      <c r="A15" s="56" t="s">
        <v>198</v>
      </c>
      <c r="B15" s="37" t="s">
        <v>5</v>
      </c>
      <c r="C15" s="36">
        <f>IF(B15="srebro",'Cennik enova365'!B46,IF(B15="złoto",'Cennik enova365'!D46,IF(B15= "platyna",'Cennik enova365'!F46,)))</f>
        <v>120</v>
      </c>
      <c r="D15" s="36">
        <f>IF(B15="srebro",'Cennik enova365'!C46,IF(B15="złoto",'Cennik enova365'!E46,IF(B15= "platyna",'Cennik enova365'!G46,)))</f>
        <v>138</v>
      </c>
      <c r="E15" s="37">
        <v>0</v>
      </c>
      <c r="F15" s="37">
        <v>0</v>
      </c>
      <c r="G15" s="38">
        <f>IF(F15=0,C15*E15,IF(OR(AND(E15=0,F15&lt;&gt;0),F15&gt;E15),"błąd",((E15-F15)*C15)+(D15*F15)))</f>
        <v>0</v>
      </c>
      <c r="H15" s="34">
        <f t="shared" si="2"/>
        <v>0</v>
      </c>
      <c r="K15" s="173"/>
    </row>
    <row r="16" spans="1:13" ht="15.6" x14ac:dyDescent="0.3">
      <c r="A16" s="56" t="s">
        <v>144</v>
      </c>
      <c r="B16" s="37" t="s">
        <v>5</v>
      </c>
      <c r="C16" s="36">
        <f>IF(B16="srebro",'Cennik enova365'!B47,IF(B16="złoto",'Cennik enova365'!D47,IF(B16= "platyna",'Cennik enova365'!F47,)))</f>
        <v>320</v>
      </c>
      <c r="D16" s="36">
        <f>IF(B16="srebro",'Cennik enova365'!C47,IF(B16="złoto",'Cennik enova365'!E47,IF(B16= "platyna",'Cennik enova365'!G47,)))</f>
        <v>368</v>
      </c>
      <c r="E16" s="37">
        <v>0</v>
      </c>
      <c r="F16" s="37">
        <v>0</v>
      </c>
      <c r="G16" s="38">
        <f>IF(F16=0,C16*E16,IF(OR(AND(E16=0,F16&lt;&gt;0),F16&gt;E16),"błąd",((E16-F16)*C16)+(D16*F16)))</f>
        <v>0</v>
      </c>
      <c r="H16" s="34">
        <f t="shared" si="2"/>
        <v>0</v>
      </c>
      <c r="K16" s="173"/>
      <c r="M16" s="12">
        <f t="shared" si="1"/>
        <v>0</v>
      </c>
    </row>
    <row r="17" spans="1:14" ht="15.6" x14ac:dyDescent="0.3">
      <c r="A17" s="278" t="s">
        <v>145</v>
      </c>
      <c r="B17" s="37" t="s">
        <v>5</v>
      </c>
      <c r="C17" s="36">
        <f>IF(B17="srebro",'Cennik enova365'!B48,IF(B17="złoto",'Cennik enova365'!D48,IF(B17= "platyna",'Cennik enova365'!F48,)))</f>
        <v>120</v>
      </c>
      <c r="D17" s="36">
        <f>IF(B17="srebro",'Cennik enova365'!C48,IF(B17="złoto",'Cennik enova365'!E48,IF(B17= "platyna",'Cennik enova365'!G48,)))</f>
        <v>138</v>
      </c>
      <c r="E17" s="37">
        <v>0</v>
      </c>
      <c r="F17" s="37">
        <v>0</v>
      </c>
      <c r="G17" s="38">
        <f>IF(F17=0,C17*E17,IF(OR(AND(E17=0,F17&lt;&gt;0),F17&gt;E17),"błąd",((E17-F17)*C17)+(D17*F17)))</f>
        <v>0</v>
      </c>
      <c r="H17" s="34">
        <f t="shared" si="2"/>
        <v>0</v>
      </c>
      <c r="K17" s="173"/>
      <c r="M17" s="12">
        <f t="shared" si="1"/>
        <v>0</v>
      </c>
    </row>
    <row r="18" spans="1:14" ht="15.6" x14ac:dyDescent="0.3">
      <c r="A18" s="309" t="s">
        <v>15</v>
      </c>
      <c r="B18" s="310"/>
      <c r="C18" s="73"/>
      <c r="D18" s="73"/>
      <c r="E18" s="73"/>
      <c r="F18" s="74"/>
      <c r="G18" s="75">
        <f>SUM(G3:G17)</f>
        <v>0</v>
      </c>
      <c r="H18" s="34">
        <f t="shared" si="2"/>
        <v>0</v>
      </c>
      <c r="M18" s="12">
        <f>SUM(M3:M17)</f>
        <v>0</v>
      </c>
      <c r="N18" s="12">
        <f>SUM(M18:M18)</f>
        <v>0</v>
      </c>
    </row>
    <row r="19" spans="1:14" ht="15.6" x14ac:dyDescent="0.3">
      <c r="A19" s="302" t="s">
        <v>171</v>
      </c>
      <c r="B19" s="303"/>
      <c r="C19" s="304"/>
      <c r="D19" s="50"/>
      <c r="E19" s="198" t="s">
        <v>44</v>
      </c>
      <c r="F19" s="199" t="s">
        <v>45</v>
      </c>
      <c r="G19" s="194"/>
      <c r="H19" s="152">
        <f>H24</f>
        <v>0</v>
      </c>
    </row>
    <row r="20" spans="1:14" ht="15.6" x14ac:dyDescent="0.3">
      <c r="A20" s="195" t="s">
        <v>166</v>
      </c>
      <c r="B20" s="53"/>
      <c r="C20" s="36">
        <f>'Cennik enova365'!$D130</f>
        <v>287</v>
      </c>
      <c r="D20" s="36">
        <f>'Cennik enova365'!$E130</f>
        <v>344</v>
      </c>
      <c r="E20" s="37" t="s">
        <v>4</v>
      </c>
      <c r="F20" s="37" t="s">
        <v>4</v>
      </c>
      <c r="G20" s="38">
        <f>IF(AND(E3=0,E20="TAK"),"Dodaj Kadry",IF(AND(E20="TAK",F20="NIE"),C20,IF(AND(E20="TAK",F20="TAK"),D20,IF(AND(E20="NIE",F20="TAK"),"błąd",0))))</f>
        <v>0</v>
      </c>
      <c r="H20" s="152">
        <f t="shared" ref="H20:H24" si="3">IF(G20&gt;0,1,0)</f>
        <v>0</v>
      </c>
    </row>
    <row r="21" spans="1:14" ht="15.6" x14ac:dyDescent="0.3">
      <c r="A21" s="195" t="s">
        <v>93</v>
      </c>
      <c r="B21" s="53"/>
      <c r="C21" s="36">
        <f>'Cennik enova365'!$D131</f>
        <v>287</v>
      </c>
      <c r="D21" s="36">
        <f>'Cennik enova365'!$E131</f>
        <v>344</v>
      </c>
      <c r="E21" s="37" t="s">
        <v>4</v>
      </c>
      <c r="F21" s="37" t="s">
        <v>4</v>
      </c>
      <c r="G21" s="38">
        <f>IF(AND(SUM(E4:E5)=0,E21="TAK"),"Dodaj Ksiegowość",IF(AND(E21="TAK",F21="NIE"),C21,IF(AND(E21="TAK",F21="TAK"),D21,IF(AND(E21="NIE",F21="TAK"),"błąd",0))))</f>
        <v>0</v>
      </c>
      <c r="H21" s="152">
        <f t="shared" si="3"/>
        <v>0</v>
      </c>
    </row>
    <row r="22" spans="1:14" ht="15.6" x14ac:dyDescent="0.3">
      <c r="A22" s="195" t="s">
        <v>95</v>
      </c>
      <c r="B22" s="53"/>
      <c r="C22" s="36">
        <f>'Cennik enova365'!$D132</f>
        <v>287</v>
      </c>
      <c r="D22" s="36">
        <f>'Cennik enova365'!$E132</f>
        <v>344</v>
      </c>
      <c r="E22" s="37" t="s">
        <v>4</v>
      </c>
      <c r="F22" s="37" t="s">
        <v>4</v>
      </c>
      <c r="G22" s="38">
        <f>IF(AND(E9=0,E22="TAK"),"Dodaj FV",IF(AND(E22="TAK",F22="NIE"),C22,IF(AND(E22="TAK",F22="TAK"),D22,IF(AND(E22="NIE",F22="TAK"),"błąd",0))))</f>
        <v>0</v>
      </c>
      <c r="H22" s="152">
        <f t="shared" si="3"/>
        <v>0</v>
      </c>
    </row>
    <row r="23" spans="1:14" ht="15.6" x14ac:dyDescent="0.3">
      <c r="A23" s="195" t="s">
        <v>97</v>
      </c>
      <c r="B23" s="53"/>
      <c r="C23" s="36">
        <f>'Cennik enova365'!$D134</f>
        <v>1999</v>
      </c>
      <c r="D23" s="36">
        <f>'Cennik enova365'!$E134</f>
        <v>2399</v>
      </c>
      <c r="E23" s="37" t="s">
        <v>4</v>
      </c>
      <c r="F23" s="37" t="s">
        <v>4</v>
      </c>
      <c r="G23" s="38">
        <f>IF(AND(SUM(G20:G22)&gt;0,E23="TAK"),"błąd",IF(AND(E23="TAK",F23="NIE"),C23,IF(AND(E23="TAK",F23="TAK"),D23,IF(AND(E23="NIE",F23="TAK"),"błąd",0))))</f>
        <v>0</v>
      </c>
      <c r="H23" s="152">
        <f t="shared" si="3"/>
        <v>0</v>
      </c>
    </row>
    <row r="24" spans="1:14" ht="15.6" x14ac:dyDescent="0.3">
      <c r="A24" s="157" t="s">
        <v>99</v>
      </c>
      <c r="B24" s="197"/>
      <c r="C24" s="159"/>
      <c r="D24" s="159"/>
      <c r="E24" s="160"/>
      <c r="F24" s="161"/>
      <c r="G24" s="41">
        <f>SUM(G20:G23)</f>
        <v>0</v>
      </c>
      <c r="H24" s="152">
        <f t="shared" si="3"/>
        <v>0</v>
      </c>
    </row>
    <row r="25" spans="1:14" ht="15.6" x14ac:dyDescent="0.3">
      <c r="A25" s="290" t="s">
        <v>174</v>
      </c>
      <c r="B25" s="291"/>
      <c r="C25" s="292"/>
      <c r="D25" s="140"/>
      <c r="E25" s="140" t="s">
        <v>35</v>
      </c>
      <c r="F25" s="88"/>
      <c r="G25" s="89"/>
      <c r="H25" s="34">
        <f>IF(G30&gt;0,1,0)</f>
        <v>0</v>
      </c>
    </row>
    <row r="26" spans="1:14" ht="15.6" x14ac:dyDescent="0.3">
      <c r="A26" s="56" t="s">
        <v>62</v>
      </c>
      <c r="B26" s="44" t="s">
        <v>4</v>
      </c>
      <c r="C26" s="36">
        <f>IF(E26="do 50 kont",'Cennik enova365'!B84,IF(E26="do 100 kont",'Cennik enova365'!B85,IF(E26="do 200 kont",'Cennik enova365'!B86,IF(E26="do 500 kont",'Cennik enova365'!B87,IF(E26="do 1000 kont",'Cennik enova365'!B88,IF(E26="powyżej 1000 kont",'Cennik enova365'!B89))))))</f>
        <v>199</v>
      </c>
      <c r="D26" s="36"/>
      <c r="E26" s="37" t="s">
        <v>186</v>
      </c>
      <c r="F26" s="55"/>
      <c r="G26" s="38">
        <f>IF(B26="TAK",C26,0)</f>
        <v>0</v>
      </c>
      <c r="H26" s="34">
        <f t="shared" si="2"/>
        <v>0</v>
      </c>
    </row>
    <row r="27" spans="1:14" ht="15.6" x14ac:dyDescent="0.3">
      <c r="A27" s="56" t="s">
        <v>30</v>
      </c>
      <c r="B27" s="44" t="s">
        <v>4</v>
      </c>
      <c r="C27" s="36">
        <f>'Cennik enova365'!B91</f>
        <v>15</v>
      </c>
      <c r="D27" s="36"/>
      <c r="E27" s="37">
        <v>0</v>
      </c>
      <c r="F27" s="55"/>
      <c r="G27" s="38">
        <f>IF(B27="TAK",C27*E27,0)</f>
        <v>0</v>
      </c>
      <c r="H27" s="34">
        <f t="shared" si="2"/>
        <v>0</v>
      </c>
    </row>
    <row r="28" spans="1:14" ht="15.6" x14ac:dyDescent="0.3">
      <c r="A28" s="56" t="s">
        <v>77</v>
      </c>
      <c r="B28" s="44" t="s">
        <v>4</v>
      </c>
      <c r="C28" s="36">
        <f>IF(E28="do 50 kont",'Cennik enova365'!B108,IF(E28="do 100 kont",'Cennik enova365'!B109,IF(E28="do 200 kont",'Cennik enova365'!B110,IF(E28="do 500 kont",'Cennik enova365'!B111,IF(E28="do 1000 kont",'Cennik enova365'!B112,IF(E28="powyżej 1000 kont",'Cennik enova365'!B113))))))</f>
        <v>99</v>
      </c>
      <c r="D28" s="36"/>
      <c r="E28" s="37" t="s">
        <v>186</v>
      </c>
      <c r="F28" s="55"/>
      <c r="G28" s="38">
        <f t="shared" ref="G28:G29" si="4">IF(B28="TAK",C28,0)</f>
        <v>0</v>
      </c>
      <c r="H28" s="34">
        <f>IF(G28&gt;0,1,0)</f>
        <v>0</v>
      </c>
    </row>
    <row r="29" spans="1:14" s="152" customFormat="1" ht="15.6" x14ac:dyDescent="0.3">
      <c r="A29" s="56" t="s">
        <v>104</v>
      </c>
      <c r="B29" s="44" t="s">
        <v>4</v>
      </c>
      <c r="C29" s="36">
        <f>'Cennik enova365'!B92</f>
        <v>330</v>
      </c>
      <c r="D29" s="36"/>
      <c r="E29" s="36"/>
      <c r="F29" s="55"/>
      <c r="G29" s="38">
        <f t="shared" si="4"/>
        <v>0</v>
      </c>
      <c r="H29" s="152">
        <f t="shared" ref="H29" si="5">IF(G29&gt;0,1,0)</f>
        <v>0</v>
      </c>
      <c r="J29" s="153"/>
      <c r="K29" s="164"/>
      <c r="L29" s="164"/>
    </row>
    <row r="30" spans="1:14" ht="15.6" x14ac:dyDescent="0.3">
      <c r="A30" s="309" t="s">
        <v>38</v>
      </c>
      <c r="B30" s="310"/>
      <c r="C30" s="73"/>
      <c r="D30" s="73"/>
      <c r="E30" s="73"/>
      <c r="F30" s="74"/>
      <c r="G30" s="75">
        <f>SUM(G26:G29)</f>
        <v>0</v>
      </c>
      <c r="H30" s="34">
        <f t="shared" si="2"/>
        <v>0</v>
      </c>
    </row>
    <row r="31" spans="1:14" ht="15.6" x14ac:dyDescent="0.3">
      <c r="A31" s="302" t="s">
        <v>182</v>
      </c>
      <c r="B31" s="303"/>
      <c r="C31" s="304"/>
      <c r="D31" s="90"/>
      <c r="E31" s="140" t="s">
        <v>31</v>
      </c>
      <c r="F31" s="88"/>
      <c r="G31" s="91"/>
      <c r="H31" s="34">
        <f>IF(G32&gt;0,1,0)</f>
        <v>0</v>
      </c>
    </row>
    <row r="32" spans="1:14" ht="31.2" x14ac:dyDescent="0.3">
      <c r="A32" s="76" t="s">
        <v>183</v>
      </c>
      <c r="B32" s="104" t="s">
        <v>4</v>
      </c>
      <c r="C32" s="77">
        <f>'Cennik enova365'!B96</f>
        <v>0.05</v>
      </c>
      <c r="D32" s="77"/>
      <c r="E32" s="105">
        <v>0</v>
      </c>
      <c r="F32" s="135"/>
      <c r="G32" s="78">
        <f>IF(B32="TAK",(G30*E32)*C32,0)</f>
        <v>0</v>
      </c>
      <c r="H32" s="79">
        <f t="shared" si="2"/>
        <v>0</v>
      </c>
    </row>
    <row r="33" spans="1:8" ht="15.6" x14ac:dyDescent="0.3">
      <c r="A33" s="309" t="s">
        <v>80</v>
      </c>
      <c r="B33" s="310"/>
      <c r="C33" s="57"/>
      <c r="D33" s="57"/>
      <c r="E33" s="57"/>
      <c r="F33" s="59"/>
      <c r="G33" s="60">
        <f>G30+G32</f>
        <v>0</v>
      </c>
      <c r="H33" s="34">
        <f t="shared" si="2"/>
        <v>0</v>
      </c>
    </row>
    <row r="34" spans="1:8" ht="15.6" x14ac:dyDescent="0.3">
      <c r="A34" s="290" t="s">
        <v>181</v>
      </c>
      <c r="B34" s="291"/>
      <c r="C34" s="292"/>
      <c r="D34" s="92"/>
      <c r="E34" s="140" t="s">
        <v>84</v>
      </c>
      <c r="F34" s="88"/>
      <c r="G34" s="93"/>
      <c r="H34" s="34">
        <f>IF(G36&gt;0,1,0)</f>
        <v>0</v>
      </c>
    </row>
    <row r="35" spans="1:8" ht="15.6" x14ac:dyDescent="0.3">
      <c r="A35" s="56" t="s">
        <v>78</v>
      </c>
      <c r="B35" s="104" t="s">
        <v>4</v>
      </c>
      <c r="C35" s="36">
        <f>IF(E35="do 50 baz",'Cennik enova365'!B116,IF(E35="do 200 baz",'Cennik enova365'!B117,IF(E35="do 500 baz",'Cennik enova365'!B118,IF(E35="powyżej 500 baz",'Cennik enova365'!B119))))</f>
        <v>153</v>
      </c>
      <c r="D35" s="36"/>
      <c r="E35" s="37" t="s">
        <v>192</v>
      </c>
      <c r="F35" s="55"/>
      <c r="G35" s="38">
        <f>IF(B35="TAK",C35,0)</f>
        <v>0</v>
      </c>
      <c r="H35" s="34">
        <f t="shared" si="2"/>
        <v>0</v>
      </c>
    </row>
    <row r="36" spans="1:8" ht="15.6" x14ac:dyDescent="0.3">
      <c r="A36" s="311" t="s">
        <v>79</v>
      </c>
      <c r="B36" s="312"/>
      <c r="C36" s="73"/>
      <c r="D36" s="73"/>
      <c r="E36" s="73"/>
      <c r="F36" s="74"/>
      <c r="G36" s="75">
        <f>G35</f>
        <v>0</v>
      </c>
      <c r="H36" s="34">
        <f t="shared" si="2"/>
        <v>0</v>
      </c>
    </row>
    <row r="37" spans="1:8" ht="47.4" customHeight="1" x14ac:dyDescent="0.3">
      <c r="A37" s="305" t="s">
        <v>172</v>
      </c>
      <c r="B37" s="291"/>
      <c r="C37" s="292"/>
      <c r="D37" s="94"/>
      <c r="E37" s="92"/>
      <c r="F37" s="95"/>
      <c r="G37" s="93"/>
      <c r="H37" s="34">
        <f>H62</f>
        <v>1</v>
      </c>
    </row>
    <row r="38" spans="1:8" ht="15.6" x14ac:dyDescent="0.3">
      <c r="A38" s="293" t="s">
        <v>106</v>
      </c>
      <c r="B38" s="294"/>
      <c r="C38" s="295"/>
      <c r="D38" s="36">
        <f>'Cennik enova365'!B51</f>
        <v>166</v>
      </c>
      <c r="E38" s="37" t="s">
        <v>4</v>
      </c>
      <c r="F38" s="181"/>
      <c r="G38" s="38">
        <f t="shared" ref="G38:G60" si="6">IF(SUM(E$3:E$13)=0,IF(E38="TAK",D38,0),IF(N$18=0,0,IF(E38="TAK",D38,0)))</f>
        <v>0</v>
      </c>
      <c r="H38" s="34">
        <f>IF(E38="TAK",1,0)</f>
        <v>0</v>
      </c>
    </row>
    <row r="39" spans="1:8" ht="15.6" x14ac:dyDescent="0.3">
      <c r="A39" s="293" t="s">
        <v>52</v>
      </c>
      <c r="B39" s="294"/>
      <c r="C39" s="295"/>
      <c r="D39" s="36">
        <f>'Cennik enova365'!B52</f>
        <v>166</v>
      </c>
      <c r="E39" s="37" t="s">
        <v>4</v>
      </c>
      <c r="F39" s="55"/>
      <c r="G39" s="38">
        <f t="shared" si="6"/>
        <v>0</v>
      </c>
      <c r="H39" s="34">
        <f t="shared" ref="H39:H60" si="7">IF(E39="TAK",1,0)</f>
        <v>0</v>
      </c>
    </row>
    <row r="40" spans="1:8" ht="15.6" x14ac:dyDescent="0.3">
      <c r="A40" s="293" t="s">
        <v>107</v>
      </c>
      <c r="B40" s="294"/>
      <c r="C40" s="295"/>
      <c r="D40" s="36">
        <f>'Cennik enova365'!B53</f>
        <v>500</v>
      </c>
      <c r="E40" s="37" t="s">
        <v>4</v>
      </c>
      <c r="F40" s="55"/>
      <c r="G40" s="38">
        <f t="shared" si="6"/>
        <v>0</v>
      </c>
      <c r="H40" s="34">
        <f t="shared" si="7"/>
        <v>0</v>
      </c>
    </row>
    <row r="41" spans="1:8" ht="15.6" x14ac:dyDescent="0.3">
      <c r="A41" s="293" t="s">
        <v>108</v>
      </c>
      <c r="B41" s="294"/>
      <c r="C41" s="295"/>
      <c r="D41" s="36">
        <f>'Cennik enova365'!B54</f>
        <v>47</v>
      </c>
      <c r="E41" s="37" t="s">
        <v>4</v>
      </c>
      <c r="F41" s="55"/>
      <c r="G41" s="38">
        <f t="shared" si="6"/>
        <v>0</v>
      </c>
      <c r="H41" s="34">
        <f t="shared" si="7"/>
        <v>0</v>
      </c>
    </row>
    <row r="42" spans="1:8" ht="15.6" x14ac:dyDescent="0.3">
      <c r="A42" s="293" t="s">
        <v>53</v>
      </c>
      <c r="B42" s="294"/>
      <c r="C42" s="295"/>
      <c r="D42" s="36">
        <f>'Cennik enova365'!B55</f>
        <v>133</v>
      </c>
      <c r="E42" s="37" t="s">
        <v>4</v>
      </c>
      <c r="F42" s="55"/>
      <c r="G42" s="38">
        <f t="shared" si="6"/>
        <v>0</v>
      </c>
      <c r="H42" s="34">
        <f t="shared" si="7"/>
        <v>0</v>
      </c>
    </row>
    <row r="43" spans="1:8" ht="15.6" x14ac:dyDescent="0.3">
      <c r="A43" s="293" t="s">
        <v>109</v>
      </c>
      <c r="B43" s="294"/>
      <c r="C43" s="295"/>
      <c r="D43" s="36">
        <f>'Cennik enova365'!B56</f>
        <v>133</v>
      </c>
      <c r="E43" s="37" t="s">
        <v>4</v>
      </c>
      <c r="F43" s="55"/>
      <c r="G43" s="38">
        <f t="shared" si="6"/>
        <v>0</v>
      </c>
      <c r="H43" s="34">
        <f t="shared" si="7"/>
        <v>0</v>
      </c>
    </row>
    <row r="44" spans="1:8" ht="15.6" x14ac:dyDescent="0.3">
      <c r="A44" s="293" t="s">
        <v>105</v>
      </c>
      <c r="B44" s="294"/>
      <c r="C44" s="295"/>
      <c r="D44" s="36">
        <f>'Cennik enova365'!B57</f>
        <v>99</v>
      </c>
      <c r="E44" s="37" t="s">
        <v>4</v>
      </c>
      <c r="F44" s="55"/>
      <c r="G44" s="38">
        <f t="shared" si="6"/>
        <v>0</v>
      </c>
      <c r="H44" s="152">
        <f t="shared" si="7"/>
        <v>0</v>
      </c>
    </row>
    <row r="45" spans="1:8" ht="15.6" x14ac:dyDescent="0.3">
      <c r="A45" s="293" t="s">
        <v>199</v>
      </c>
      <c r="B45" s="294"/>
      <c r="C45" s="295"/>
      <c r="D45" s="36">
        <f>'Cennik enova365'!B58</f>
        <v>59</v>
      </c>
      <c r="E45" s="37" t="s">
        <v>4</v>
      </c>
      <c r="F45" s="55"/>
      <c r="G45" s="38">
        <f t="shared" si="6"/>
        <v>0</v>
      </c>
      <c r="H45" s="152">
        <f t="shared" si="7"/>
        <v>0</v>
      </c>
    </row>
    <row r="46" spans="1:8" ht="15.6" x14ac:dyDescent="0.3">
      <c r="A46" s="293" t="s">
        <v>92</v>
      </c>
      <c r="B46" s="294"/>
      <c r="C46" s="295"/>
      <c r="D46" s="36">
        <f>'Cennik enova365'!B59</f>
        <v>166</v>
      </c>
      <c r="E46" s="37" t="s">
        <v>4</v>
      </c>
      <c r="F46" s="55"/>
      <c r="G46" s="38">
        <f t="shared" si="6"/>
        <v>0</v>
      </c>
      <c r="H46" s="34">
        <f t="shared" si="7"/>
        <v>0</v>
      </c>
    </row>
    <row r="47" spans="1:8" ht="15.6" x14ac:dyDescent="0.3">
      <c r="A47" s="293" t="s">
        <v>47</v>
      </c>
      <c r="B47" s="294"/>
      <c r="C47" s="295"/>
      <c r="D47" s="36">
        <f>'Cennik enova365'!B60</f>
        <v>133</v>
      </c>
      <c r="E47" s="37" t="s">
        <v>4</v>
      </c>
      <c r="F47" s="55"/>
      <c r="G47" s="38">
        <f t="shared" si="6"/>
        <v>0</v>
      </c>
      <c r="H47" s="34">
        <f t="shared" si="7"/>
        <v>0</v>
      </c>
    </row>
    <row r="48" spans="1:8" ht="15.6" x14ac:dyDescent="0.3">
      <c r="A48" s="293" t="s">
        <v>48</v>
      </c>
      <c r="B48" s="294"/>
      <c r="C48" s="295"/>
      <c r="D48" s="36">
        <f>'Cennik enova365'!B61</f>
        <v>146</v>
      </c>
      <c r="E48" s="37" t="s">
        <v>4</v>
      </c>
      <c r="F48" s="55"/>
      <c r="G48" s="38">
        <f t="shared" si="6"/>
        <v>0</v>
      </c>
      <c r="H48" s="34">
        <f t="shared" si="7"/>
        <v>0</v>
      </c>
    </row>
    <row r="49" spans="1:8" ht="15.6" x14ac:dyDescent="0.3">
      <c r="A49" s="293" t="s">
        <v>49</v>
      </c>
      <c r="B49" s="294"/>
      <c r="C49" s="295"/>
      <c r="D49" s="36">
        <f>'Cennik enova365'!B62</f>
        <v>166</v>
      </c>
      <c r="E49" s="37" t="s">
        <v>4</v>
      </c>
      <c r="F49" s="55"/>
      <c r="G49" s="38">
        <f t="shared" si="6"/>
        <v>0</v>
      </c>
      <c r="H49" s="34">
        <f t="shared" si="7"/>
        <v>0</v>
      </c>
    </row>
    <row r="50" spans="1:8" ht="15.6" x14ac:dyDescent="0.3">
      <c r="A50" s="293" t="s">
        <v>50</v>
      </c>
      <c r="B50" s="294"/>
      <c r="C50" s="295"/>
      <c r="D50" s="36">
        <f>'Cennik enova365'!B63</f>
        <v>99</v>
      </c>
      <c r="E50" s="37" t="s">
        <v>4</v>
      </c>
      <c r="F50" s="55"/>
      <c r="G50" s="38">
        <f t="shared" si="6"/>
        <v>0</v>
      </c>
      <c r="H50" s="34">
        <f t="shared" si="7"/>
        <v>0</v>
      </c>
    </row>
    <row r="51" spans="1:8" ht="15.6" x14ac:dyDescent="0.3">
      <c r="A51" s="293" t="s">
        <v>51</v>
      </c>
      <c r="B51" s="294"/>
      <c r="C51" s="295"/>
      <c r="D51" s="36">
        <f>'Cennik enova365'!B64</f>
        <v>99</v>
      </c>
      <c r="E51" s="37" t="s">
        <v>4</v>
      </c>
      <c r="F51" s="55"/>
      <c r="G51" s="38">
        <f t="shared" si="6"/>
        <v>0</v>
      </c>
      <c r="H51" s="34">
        <f t="shared" si="7"/>
        <v>0</v>
      </c>
    </row>
    <row r="52" spans="1:8" ht="15.6" x14ac:dyDescent="0.3">
      <c r="A52" s="293" t="s">
        <v>59</v>
      </c>
      <c r="B52" s="294"/>
      <c r="C52" s="295"/>
      <c r="D52" s="36">
        <f>'Cennik enova365'!B66</f>
        <v>48</v>
      </c>
      <c r="E52" s="37" t="s">
        <v>4</v>
      </c>
      <c r="F52" s="55"/>
      <c r="G52" s="38">
        <f t="shared" si="6"/>
        <v>0</v>
      </c>
      <c r="H52" s="34">
        <f t="shared" si="7"/>
        <v>0</v>
      </c>
    </row>
    <row r="53" spans="1:8" ht="15.6" x14ac:dyDescent="0.3">
      <c r="A53" s="293" t="s">
        <v>110</v>
      </c>
      <c r="B53" s="294"/>
      <c r="C53" s="295"/>
      <c r="D53" s="36">
        <f>'Cennik enova365'!B67</f>
        <v>13</v>
      </c>
      <c r="E53" s="37" t="s">
        <v>4</v>
      </c>
      <c r="F53" s="55"/>
      <c r="G53" s="38">
        <f t="shared" si="6"/>
        <v>0</v>
      </c>
      <c r="H53" s="34">
        <f t="shared" si="7"/>
        <v>0</v>
      </c>
    </row>
    <row r="54" spans="1:8" ht="15.6" x14ac:dyDescent="0.3">
      <c r="A54" s="293" t="s">
        <v>58</v>
      </c>
      <c r="B54" s="294"/>
      <c r="C54" s="295"/>
      <c r="D54" s="36">
        <f>'Cennik enova365'!B68</f>
        <v>133</v>
      </c>
      <c r="E54" s="37" t="s">
        <v>4</v>
      </c>
      <c r="F54" s="55"/>
      <c r="G54" s="38">
        <f t="shared" si="6"/>
        <v>0</v>
      </c>
      <c r="H54" s="34">
        <f t="shared" si="7"/>
        <v>0</v>
      </c>
    </row>
    <row r="55" spans="1:8" ht="15.6" x14ac:dyDescent="0.3">
      <c r="A55" s="293" t="s">
        <v>103</v>
      </c>
      <c r="B55" s="294"/>
      <c r="C55" s="295"/>
      <c r="D55" s="36">
        <f>'Cennik enova365'!B70</f>
        <v>332</v>
      </c>
      <c r="E55" s="37" t="s">
        <v>4</v>
      </c>
      <c r="F55" s="55"/>
      <c r="G55" s="38">
        <f t="shared" si="6"/>
        <v>0</v>
      </c>
      <c r="H55" s="34">
        <f t="shared" si="7"/>
        <v>0</v>
      </c>
    </row>
    <row r="56" spans="1:8" ht="15.6" x14ac:dyDescent="0.3">
      <c r="A56" s="293" t="s">
        <v>200</v>
      </c>
      <c r="B56" s="294"/>
      <c r="C56" s="295"/>
      <c r="D56" s="36">
        <f>'Cennik enova365'!B71</f>
        <v>99</v>
      </c>
      <c r="E56" s="37" t="s">
        <v>4</v>
      </c>
      <c r="F56" s="55"/>
      <c r="G56" s="38">
        <f t="shared" si="6"/>
        <v>0</v>
      </c>
      <c r="H56" s="34">
        <f t="shared" si="7"/>
        <v>0</v>
      </c>
    </row>
    <row r="57" spans="1:8" ht="15.6" x14ac:dyDescent="0.3">
      <c r="A57" s="293" t="s">
        <v>56</v>
      </c>
      <c r="B57" s="294"/>
      <c r="C57" s="295"/>
      <c r="D57" s="36">
        <f>'Cennik enova365'!B72</f>
        <v>59</v>
      </c>
      <c r="E57" s="37" t="s">
        <v>4</v>
      </c>
      <c r="F57" s="55"/>
      <c r="G57" s="38">
        <f t="shared" si="6"/>
        <v>0</v>
      </c>
      <c r="H57" s="34">
        <f t="shared" si="7"/>
        <v>0</v>
      </c>
    </row>
    <row r="58" spans="1:8" ht="15.6" x14ac:dyDescent="0.3">
      <c r="A58" s="293" t="s">
        <v>57</v>
      </c>
      <c r="B58" s="294"/>
      <c r="C58" s="295"/>
      <c r="D58" s="36">
        <f>'Cennik enova365'!B73</f>
        <v>59</v>
      </c>
      <c r="E58" s="37" t="s">
        <v>4</v>
      </c>
      <c r="F58" s="55"/>
      <c r="G58" s="38">
        <f t="shared" si="6"/>
        <v>0</v>
      </c>
      <c r="H58" s="34">
        <f t="shared" si="7"/>
        <v>0</v>
      </c>
    </row>
    <row r="59" spans="1:8" ht="15.6" x14ac:dyDescent="0.3">
      <c r="A59" s="293" t="s">
        <v>75</v>
      </c>
      <c r="B59" s="294"/>
      <c r="C59" s="295"/>
      <c r="D59" s="36">
        <f>'Cennik enova365'!B74</f>
        <v>133</v>
      </c>
      <c r="E59" s="37" t="s">
        <v>4</v>
      </c>
      <c r="F59" s="55"/>
      <c r="G59" s="38">
        <f t="shared" si="6"/>
        <v>0</v>
      </c>
      <c r="H59" s="34">
        <f t="shared" si="7"/>
        <v>0</v>
      </c>
    </row>
    <row r="60" spans="1:8" ht="15.6" x14ac:dyDescent="0.3">
      <c r="A60" s="293" t="s">
        <v>60</v>
      </c>
      <c r="B60" s="294"/>
      <c r="C60" s="295"/>
      <c r="D60" s="36">
        <f>'Cennik enova365'!B75</f>
        <v>99</v>
      </c>
      <c r="E60" s="37" t="s">
        <v>4</v>
      </c>
      <c r="F60" s="55"/>
      <c r="G60" s="38">
        <f t="shared" si="6"/>
        <v>0</v>
      </c>
      <c r="H60" s="34">
        <f t="shared" si="7"/>
        <v>0</v>
      </c>
    </row>
    <row r="61" spans="1:8" ht="15.6" x14ac:dyDescent="0.3">
      <c r="A61" s="293" t="s">
        <v>184</v>
      </c>
      <c r="B61" s="294"/>
      <c r="C61" s="295"/>
      <c r="D61" s="36"/>
      <c r="E61" s="37" t="s">
        <v>2</v>
      </c>
      <c r="F61" s="55"/>
      <c r="G61" s="80" t="s">
        <v>74</v>
      </c>
      <c r="H61" s="34">
        <v>1</v>
      </c>
    </row>
    <row r="62" spans="1:8" ht="15.6" x14ac:dyDescent="0.3">
      <c r="A62" s="306" t="s">
        <v>16</v>
      </c>
      <c r="B62" s="307"/>
      <c r="C62" s="308"/>
      <c r="D62" s="58"/>
      <c r="E62" s="288"/>
      <c r="F62" s="289"/>
      <c r="G62" s="60">
        <f>SUM(G38:G60)</f>
        <v>0</v>
      </c>
      <c r="H62" s="34">
        <f>IF(SUM(H38:H61)&gt;0,1,0)</f>
        <v>1</v>
      </c>
    </row>
    <row r="63" spans="1:8" ht="15.6" x14ac:dyDescent="0.3">
      <c r="A63" s="290" t="s">
        <v>36</v>
      </c>
      <c r="B63" s="291"/>
      <c r="C63" s="292"/>
      <c r="D63" s="92"/>
      <c r="E63" s="90"/>
      <c r="F63" s="96"/>
      <c r="G63" s="93"/>
      <c r="H63" s="34">
        <f>IF(G67&gt;0,1,0)</f>
        <v>0</v>
      </c>
    </row>
    <row r="64" spans="1:8" ht="15.6" x14ac:dyDescent="0.3">
      <c r="A64" s="52"/>
      <c r="B64" s="53"/>
      <c r="C64" s="40" t="s">
        <v>26</v>
      </c>
      <c r="D64" s="40"/>
      <c r="E64" s="54" t="s">
        <v>24</v>
      </c>
      <c r="F64" s="55"/>
      <c r="G64" s="38"/>
      <c r="H64" s="34">
        <f>IF(G67&gt;0,1,0)</f>
        <v>0</v>
      </c>
    </row>
    <row r="65" spans="1:10" ht="15.6" x14ac:dyDescent="0.3">
      <c r="A65" s="56" t="s">
        <v>22</v>
      </c>
      <c r="B65" s="37" t="s">
        <v>4</v>
      </c>
      <c r="C65" s="36">
        <f>'Cennik enova365'!B79</f>
        <v>24</v>
      </c>
      <c r="D65" s="36"/>
      <c r="E65" s="37">
        <v>1</v>
      </c>
      <c r="F65" s="55"/>
      <c r="G65" s="38">
        <f>IF(SUM(E$3:E$17)=0,IF(B65="TAK",C65*E65,0),IF(N$18=0,0,IF(B65="TAK",C65*E65,0)))</f>
        <v>0</v>
      </c>
      <c r="H65" s="34">
        <f t="shared" ref="H65:H67" si="8">IF(G65&gt;0,1,0)</f>
        <v>0</v>
      </c>
    </row>
    <row r="66" spans="1:10" ht="15.6" x14ac:dyDescent="0.3">
      <c r="A66" s="56" t="s">
        <v>23</v>
      </c>
      <c r="B66" s="37" t="s">
        <v>4</v>
      </c>
      <c r="C66" s="36">
        <f>'Cennik enova365'!B80</f>
        <v>48</v>
      </c>
      <c r="D66" s="36"/>
      <c r="E66" s="37">
        <v>1</v>
      </c>
      <c r="F66" s="55"/>
      <c r="G66" s="38">
        <f>IF(AND(B66="TAK",B65="tak"),(IF(E65&lt;5,"1..5 musi być 5",IF(SUM(E$3:E$17)=0,IF(B66="TAK",C66*E66,0),IF(N$18=0,0,IF(B66="TAK",C66*E66,0))))),0)</f>
        <v>0</v>
      </c>
      <c r="H66" s="34">
        <f t="shared" si="8"/>
        <v>0</v>
      </c>
    </row>
    <row r="67" spans="1:10" ht="15.6" x14ac:dyDescent="0.3">
      <c r="A67" s="287" t="s">
        <v>17</v>
      </c>
      <c r="B67" s="57"/>
      <c r="C67" s="58"/>
      <c r="D67" s="58"/>
      <c r="E67" s="57"/>
      <c r="F67" s="59"/>
      <c r="G67" s="60">
        <f>SUM(G65:G66)</f>
        <v>0</v>
      </c>
      <c r="H67" s="34">
        <f t="shared" si="8"/>
        <v>0</v>
      </c>
    </row>
    <row r="68" spans="1:10" ht="17.399999999999999" x14ac:dyDescent="0.35">
      <c r="A68" s="131" t="s">
        <v>185</v>
      </c>
      <c r="B68" s="132"/>
      <c r="C68" s="133"/>
      <c r="D68" s="134"/>
      <c r="E68" s="205"/>
      <c r="F68" s="110"/>
      <c r="G68" s="203">
        <f>G18+G24+G62+G67</f>
        <v>0</v>
      </c>
      <c r="H68" s="34"/>
    </row>
    <row r="69" spans="1:10" ht="31.2" x14ac:dyDescent="0.35">
      <c r="A69" s="111" t="s">
        <v>70</v>
      </c>
      <c r="B69" s="244" t="s">
        <v>81</v>
      </c>
      <c r="C69" s="250"/>
      <c r="D69" s="112"/>
      <c r="E69" s="113" t="s">
        <v>24</v>
      </c>
      <c r="F69" s="114"/>
      <c r="G69" s="245">
        <f>IF(AND(E70&gt;20),(G68*(E70-20)*0.05),0)</f>
        <v>0</v>
      </c>
      <c r="H69" s="34"/>
    </row>
    <row r="70" spans="1:10" ht="17.399999999999999" x14ac:dyDescent="0.35">
      <c r="A70" s="115"/>
      <c r="B70" s="206"/>
      <c r="C70" s="251"/>
      <c r="D70" s="207"/>
      <c r="E70" s="128">
        <v>0</v>
      </c>
      <c r="F70" s="114"/>
      <c r="G70" s="204"/>
      <c r="H70" s="34"/>
    </row>
    <row r="71" spans="1:10" ht="15.6" x14ac:dyDescent="0.3">
      <c r="A71" s="62" t="s">
        <v>73</v>
      </c>
      <c r="B71" s="63"/>
      <c r="C71" s="63"/>
      <c r="D71" s="63"/>
      <c r="E71" s="63"/>
      <c r="F71" s="64"/>
      <c r="G71" s="65">
        <f>G18+G33+G36+G62+G67+G24</f>
        <v>0</v>
      </c>
      <c r="H71" s="34">
        <f t="shared" si="2"/>
        <v>0</v>
      </c>
    </row>
    <row r="72" spans="1:10" ht="15.6" x14ac:dyDescent="0.3">
      <c r="A72" s="66"/>
      <c r="B72" s="37" t="s">
        <v>18</v>
      </c>
      <c r="C72" s="142">
        <v>0</v>
      </c>
      <c r="D72" s="143"/>
      <c r="E72" s="37" t="s">
        <v>4</v>
      </c>
      <c r="F72" s="144"/>
      <c r="G72" s="145">
        <f>IF(E72="TAK",(G71-#REF!)*C72,0)</f>
        <v>0</v>
      </c>
      <c r="H72" s="34">
        <f t="shared" si="2"/>
        <v>0</v>
      </c>
    </row>
    <row r="73" spans="1:10" ht="15.6" x14ac:dyDescent="0.3">
      <c r="A73" s="67"/>
      <c r="B73" s="272" t="s">
        <v>19</v>
      </c>
      <c r="C73" s="273"/>
      <c r="D73" s="273"/>
      <c r="E73" s="273"/>
      <c r="F73" s="273"/>
      <c r="G73" s="267">
        <f>G72</f>
        <v>0</v>
      </c>
      <c r="H73" s="34">
        <f t="shared" si="2"/>
        <v>0</v>
      </c>
    </row>
    <row r="74" spans="1:10" ht="15.6" x14ac:dyDescent="0.3">
      <c r="A74" s="290" t="s">
        <v>176</v>
      </c>
      <c r="B74" s="291"/>
      <c r="C74" s="292"/>
      <c r="D74" s="50"/>
      <c r="E74" s="162" t="s">
        <v>35</v>
      </c>
      <c r="F74" s="163"/>
      <c r="G74" s="43"/>
      <c r="H74" s="34">
        <f t="shared" si="2"/>
        <v>0</v>
      </c>
    </row>
    <row r="75" spans="1:10" ht="31.2" x14ac:dyDescent="0.3">
      <c r="A75" s="56" t="s">
        <v>146</v>
      </c>
      <c r="B75" s="261" t="s">
        <v>4</v>
      </c>
      <c r="C75" s="264">
        <f>IF(B75="ROCZNA 
1 stacja weryfikacji",VLOOKUP(E75,'Cennik enova365'!A144:E148,4,FALSE),IF(B75="ROCZNA 
3 stacje weryfikacji",VLOOKUP(E75,'Cennik enova365'!A144:E148,5,FALSE),0))</f>
        <v>0</v>
      </c>
      <c r="D75" s="36"/>
      <c r="E75" s="166" t="s">
        <v>154</v>
      </c>
      <c r="F75" s="55"/>
      <c r="G75" s="268">
        <f>C75</f>
        <v>0</v>
      </c>
      <c r="H75" s="34">
        <f t="shared" si="2"/>
        <v>0</v>
      </c>
      <c r="J75" s="285" t="s">
        <v>180</v>
      </c>
    </row>
    <row r="76" spans="1:10" ht="31.2" x14ac:dyDescent="0.3">
      <c r="A76" s="56" t="s">
        <v>147</v>
      </c>
      <c r="B76" s="261" t="str">
        <f>B75</f>
        <v>NIE</v>
      </c>
      <c r="C76" s="264">
        <f>IF(B76="ROCZNA 
1 stacja weryfikacji",VLOOKUP(E76,'Cennik enova365'!A158:E161,4,FALSE),IF(B76="ROCZNA 
3 stacje weryfikacji",VLOOKUP(E76,'Cennik enova365'!A158:E161,5,FALSE),0))</f>
        <v>0</v>
      </c>
      <c r="D76" s="36"/>
      <c r="E76" s="166" t="str">
        <f>E75</f>
        <v>5 000 stron rocznie</v>
      </c>
      <c r="F76" s="55"/>
      <c r="G76" s="268">
        <f>C76</f>
        <v>0</v>
      </c>
      <c r="H76" s="34">
        <f t="shared" si="2"/>
        <v>0</v>
      </c>
      <c r="J76" s="285"/>
    </row>
    <row r="77" spans="1:10" ht="15.6" x14ac:dyDescent="0.3">
      <c r="A77" s="287" t="s">
        <v>153</v>
      </c>
      <c r="B77" s="57"/>
      <c r="C77" s="58"/>
      <c r="D77" s="58"/>
      <c r="E77" s="57"/>
      <c r="F77" s="59"/>
      <c r="G77" s="60">
        <f>SUM(G75:G76)</f>
        <v>0</v>
      </c>
      <c r="H77" s="34">
        <f t="shared" si="2"/>
        <v>0</v>
      </c>
    </row>
    <row r="78" spans="1:10" ht="15.6" x14ac:dyDescent="0.3">
      <c r="A78" s="98" t="s">
        <v>20</v>
      </c>
      <c r="B78" s="102"/>
      <c r="C78" s="102"/>
      <c r="D78" s="102"/>
      <c r="E78" s="102"/>
      <c r="F78" s="103"/>
      <c r="G78" s="101">
        <f>(G71-G73)+G77</f>
        <v>0</v>
      </c>
      <c r="H78" s="34">
        <f t="shared" si="2"/>
        <v>0</v>
      </c>
    </row>
    <row r="79" spans="1:10" ht="15.6" x14ac:dyDescent="0.3">
      <c r="A79" s="98" t="s">
        <v>21</v>
      </c>
      <c r="B79" s="99"/>
      <c r="C79" s="99"/>
      <c r="D79" s="99"/>
      <c r="E79" s="99"/>
      <c r="F79" s="100"/>
      <c r="G79" s="101">
        <f>G78*1.23</f>
        <v>0</v>
      </c>
      <c r="H79" s="34">
        <f t="shared" si="2"/>
        <v>0</v>
      </c>
    </row>
    <row r="80" spans="1:10" x14ac:dyDescent="0.3">
      <c r="A80" s="69" t="s">
        <v>86</v>
      </c>
      <c r="B80" s="83"/>
      <c r="C80" s="70"/>
      <c r="D80" s="34"/>
      <c r="E80" s="34"/>
      <c r="F80" s="34"/>
      <c r="G80" s="34"/>
      <c r="H80" s="34">
        <v>1</v>
      </c>
    </row>
    <row r="81" spans="1:8" x14ac:dyDescent="0.3">
      <c r="A81" s="69" t="s">
        <v>87</v>
      </c>
      <c r="B81" s="83"/>
      <c r="C81" s="70"/>
      <c r="D81" s="34"/>
      <c r="E81" s="34"/>
      <c r="F81" s="34"/>
      <c r="G81" s="34"/>
      <c r="H81" s="34">
        <v>1</v>
      </c>
    </row>
    <row r="82" spans="1:8" x14ac:dyDescent="0.3">
      <c r="A82" s="71" t="s">
        <v>88</v>
      </c>
      <c r="B82" s="84"/>
      <c r="C82" s="72"/>
      <c r="D82" s="34"/>
      <c r="E82" s="34"/>
      <c r="F82" s="34"/>
      <c r="G82" s="34"/>
      <c r="H82" s="34">
        <v>1</v>
      </c>
    </row>
  </sheetData>
  <autoFilter ref="H1:H93"/>
  <dataConsolidate/>
  <mergeCells count="37">
    <mergeCell ref="A60:C60"/>
    <mergeCell ref="A61:C61"/>
    <mergeCell ref="A62:C62"/>
    <mergeCell ref="A63:C63"/>
    <mergeCell ref="A74:C74"/>
    <mergeCell ref="A59:C59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7:C57"/>
    <mergeCell ref="A58:C58"/>
    <mergeCell ref="A56:C56"/>
    <mergeCell ref="A46:C46"/>
    <mergeCell ref="A33:B33"/>
    <mergeCell ref="A34:C34"/>
    <mergeCell ref="A36:B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31:C31"/>
    <mergeCell ref="A2:C2"/>
    <mergeCell ref="A18:B18"/>
    <mergeCell ref="A19:C19"/>
    <mergeCell ref="A25:C25"/>
    <mergeCell ref="A30:B30"/>
  </mergeCells>
  <dataValidations count="13">
    <dataValidation allowBlank="1" showInputMessage="1" showErrorMessage="1" prompt="wymaga: Ewidencji Środków pieniężnych, dowolny moduł samodzielny min. w wersji srebrnej (patrz powyżej zaznaczone na zielono)" sqref="E15:E16"/>
    <dataValidation allowBlank="1" showInputMessage="1" showErrorMessage="1" prompt="na licencji musi być inny, dowolny moduł, którego działanie chcemy oprocesować" sqref="E12"/>
    <dataValidation allowBlank="1" showInputMessage="1" showErrorMessage="1" prompt="wymaga: Księgi Podatkowej lub Księgi Handlowej" sqref="E8"/>
    <dataValidation allowBlank="1" showInputMessage="1" showErrorMessage="1" prompt="można dokupić jeżeli na licencji jest już min. jedno stanowsiko dowolnego modułu samodzielnego min. w wersji srebrnej (patrz powyżej zaznaczone na zielono)" sqref="E7"/>
    <dataValidation allowBlank="1" showErrorMessage="1" prompt="wpisz wartość rabatu" sqref="D72"/>
    <dataValidation allowBlank="1" showErrorMessage="1" prompt="zaznacz odpowiednią opcję" sqref="E61:F61 F72 F39:F43 F46:F60"/>
    <dataValidation allowBlank="1" showErrorMessage="1" sqref="F35 F65:F66"/>
    <dataValidation allowBlank="1" showErrorMessage="1" prompt="wpisz liczbę baz" sqref="F32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27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27"/>
    <dataValidation allowBlank="1" showInputMessage="1" showErrorMessage="1" prompt="wpisz liczbę baz" sqref="E32"/>
    <dataValidation allowBlank="1" showInputMessage="1" showErrorMessage="1" prompt="wpisz wartość rabatu" sqref="C72"/>
    <dataValidation allowBlank="1" showInputMessage="1" showErrorMessage="1" prompt="wpisz liczbę wszystkich baz instalacji wielofirmowej" sqref="E70"/>
  </dataValidations>
  <pageMargins left="0.7" right="0.7" top="0.75" bottom="0.75" header="0.3" footer="0.3"/>
  <pageSetup paperSize="9" orientation="portrait" r:id="rId1"/>
  <ignoredErrors>
    <ignoredError sqref="B14:G14 F26:H34 A22:H25 A21:F21 H21 C13:G13 A19:H20 A16 C16:G16 A17 C17:G17 C4:H7 A4:A8 C12 E12:G12 C8:G9 A18:F18 H18" formula="1"/>
    <ignoredError sqref="A27:E27 A26:B26 A29:E34 A28:B28 D26 D28" twoDigitTextYear="1" formula="1"/>
    <ignoredError sqref="A35:B35 D35" twoDigitTextYear="1"/>
    <ignoredError sqref="G21" formula="1" formulaRange="1"/>
  </ignoredErrors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prompt="wybierz przedział">
          <x14:formula1>
            <xm:f>'Cennik enova365'!$A$108:$A$113</xm:f>
          </x14:formula1>
          <xm:sqref>E28</xm:sqref>
        </x14:dataValidation>
        <x14:dataValidation type="list" allowBlank="1" showInputMessage="1" showErrorMessage="1" prompt="dowolny moduł min. w wersji złotej_x000a_(przynajmniej jedno, dowolne stanowsiko w ramach licencji Klienta musi być multi)">
          <x14:formula1>
            <xm:f>'Cennik enova365'!$K$14:$K$15</xm:f>
          </x14:formula1>
          <xm:sqref>E55</xm:sqref>
        </x14:dataValidation>
        <x14:dataValidation type="list" allowBlank="1" showInputMessage="1" showErrorMessage="1" prompt="dowolny moduł samodzielny min. w wersji srebrnej_x000a_(patrz powyżej zaznaczone na zielono)">
          <x14:formula1>
            <xm:f>'Cennik enova365'!$K$14:$K$15</xm:f>
          </x14:formula1>
          <xm:sqref>E48:E49</xm:sqref>
        </x14:dataValidation>
        <x14:dataValidation type="list" allowBlank="1" showInputMessage="1" showErrorMessage="1" prompt="wybierz przedział">
          <x14:formula1>
            <xm:f>'Cennik enova365'!$A$84:$A$89</xm:f>
          </x14:formula1>
          <xm:sqref>E26</xm:sqref>
        </x14:dataValidation>
        <x14:dataValidation type="list" allowBlank="1" showInputMessage="1" showErrorMessage="1" prompt="dowolny moduł min. w wersji złotej_x000a_(przynajmniej jedno, dowolne stanowsiko w ramach licencji Klienta musi być złote)">
          <x14:formula1>
            <xm:f>'Cennik enova365'!$K$14:$K$15</xm:f>
          </x14:formula1>
          <xm:sqref>E23 E59:E60 E57</xm:sqref>
        </x14:dataValidation>
        <x14:dataValidation type="list" allowBlank="1" showInputMessage="1" showErrorMessage="1">
          <x14:formula1>
            <xm:f>'Cennik enova365'!$A$151:$A$155</xm:f>
          </x14:formula1>
          <xm:sqref>E75</xm:sqref>
        </x14:dataValidation>
        <x14:dataValidation type="list" allowBlank="1" showInputMessage="1" showErrorMessage="1" prompt="Wymaga modułów: _x000a_Workflow platyna_x000a_DMS platyna _x000a_Harmonogram Zadań_x000a_Integracja OCR">
          <x14:formula1>
            <xm:f>'Cennik enova365'!$L$14:$L$16</xm:f>
          </x14:formula1>
          <xm:sqref>B75</xm:sqref>
        </x14:dataValidation>
        <x14:dataValidation type="list" allowBlank="1" showInputMessage="1" showErrorMessage="1" prompt="wymaga:_x000a_CRM min. złoty_x000a_lub Projekty min. złote">
          <x14:formula1>
            <xm:f>'Cennik enova365'!$K$14:$K$15</xm:f>
          </x14:formula1>
          <xm:sqref>E58</xm:sqref>
        </x14:dataValidation>
        <x14:dataValidation type="list" allowBlank="1" showInputMessage="1" showErrorMessage="1" prompt="wymaga:_x000a_Kadry Płace min. złote i Handel min. złoty">
          <x14:formula1>
            <xm:f>'Cennik enova365'!$K$14:$K$15</xm:f>
          </x14:formula1>
          <xm:sqref>E44</xm:sqref>
        </x14:dataValidation>
        <x14:dataValidation type="list" allowBlank="1" showInputMessage="1" showErrorMessage="1" prompt="wymaga:_x000a_Księga Handlowa min. złota">
          <x14:formula1>
            <xm:f>'Cennik enova365'!$K$14:$K$15</xm:f>
          </x14:formula1>
          <xm:sqref>E46:E47</xm:sqref>
        </x14:dataValidation>
        <x14:dataValidation type="list" allowBlank="1" showInputMessage="1" showErrorMessage="1" prompt="wymaga:_x000a_Faktury min. srebrne_x000a_lub Handel min. srebrny_x000a_">
          <x14:formula1>
            <xm:f>'Cennik enova365'!$K$14:$K$15</xm:f>
          </x14:formula1>
          <xm:sqref>E52</xm:sqref>
        </x14:dataValidation>
        <x14:dataValidation type="list" allowBlank="1" showInputMessage="1" showErrorMessage="1" prompt="dowolny moduł min. w wersji srebrnej">
          <x14:formula1>
            <xm:f>'Cennik enova365'!$K$14:$K$15</xm:f>
          </x14:formula1>
          <xm:sqref>E53</xm:sqref>
        </x14:dataValidation>
        <x14:dataValidation type="list" allowBlank="1" showInputMessage="1" showErrorMessage="1" prompt="wymaga:_x000a_Faktury min. srebrne_x000a_lub Handel min. srebrny">
          <x14:formula1>
            <xm:f>'Cennik enova365'!$K$14:$K$15</xm:f>
          </x14:formula1>
          <xm:sqref>E54</xm:sqref>
        </x14:dataValidation>
        <x14:dataValidation type="list" allowBlank="1" showInputMessage="1" showErrorMessage="1" prompt="wymaga:_x000a_Kadry Płace min. złote">
          <x14:formula1>
            <xm:f>'Cennik enova365'!$K$14:$K$15</xm:f>
          </x14:formula1>
          <xm:sqref>E20:F20 E38:E43 E45</xm:sqref>
        </x14:dataValidation>
        <x14:dataValidation type="list" allowBlank="1" showInputMessage="1" showErrorMessage="1" prompt="wymaga:_x000a_Księga Handlowa min. złota_x000a_lub Księga Podatkowa">
          <x14:formula1>
            <xm:f>'Cennik enova365'!$K$14:$K$15</xm:f>
          </x14:formula1>
          <xm:sqref>E21:F21 E50:E51</xm:sqref>
        </x14:dataValidation>
        <x14:dataValidation type="list" allowBlank="1" showInputMessage="1" showErrorMessage="1" prompt="wymaga:_x000a_Faktury min. złote_x000a_lub Handel min. złoty">
          <x14:formula1>
            <xm:f>'Cennik enova365'!$K$14:$K$15</xm:f>
          </x14:formula1>
          <xm:sqref>E22:F22</xm:sqref>
        </x14:dataValidation>
        <x14:dataValidation type="list" allowBlank="1" showInputMessage="1" showErrorMessage="1">
          <x14:formula1>
            <xm:f>'Cennik enova365'!$K$25:$K$34</xm:f>
          </x14:formula1>
          <xm:sqref>E66</xm:sqref>
        </x14:dataValidation>
        <x14:dataValidation type="list" allowBlank="1" showInputMessage="1" showErrorMessage="1" prompt="wskaż przedział (ilu klientów biura ma korzystać z tego Pulpitu)">
          <x14:formula1>
            <xm:f>'Cennik enova365'!$A$116:$A$119</xm:f>
          </x14:formula1>
          <xm:sqref>E35</xm:sqref>
        </x14:dataValidation>
        <x14:dataValidation type="list" allowBlank="1" showInputMessage="1" showErrorMessage="1">
          <x14:formula1>
            <xm:f>'Cennik enova365'!$K$18:$K$22</xm:f>
          </x14:formula1>
          <xm:sqref>E65</xm:sqref>
        </x14:dataValidation>
        <x14:dataValidation type="list" allowBlank="1" showInputMessage="1" showErrorMessage="1">
          <x14:formula1>
            <xm:f>'Cennik enova365'!$K$14:$K$15</xm:f>
          </x14:formula1>
          <xm:sqref>B32 B26:B29 F23 E72 B65:B66 B35</xm:sqref>
        </x14:dataValidation>
        <x14:dataValidation type="list" allowBlank="1" showInputMessage="1" showErrorMessage="1" prompt="wybierz wersję">
          <x14:formula1>
            <xm:f>'Cennik enova365'!$K$4</xm:f>
          </x14:formula1>
          <xm:sqref>B15:B17 B3:B13</xm:sqref>
        </x14:dataValidation>
        <x14:dataValidation type="list" allowBlank="1" showInputMessage="1" showErrorMessage="1" prompt="wymaga:_x000a_Handel min. złoty">
          <x14:formula1>
            <xm:f>'Cennik enova365'!$K$14:$K$15</xm:f>
          </x14:formula1>
          <xm:sqref>E56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06"/>
  <sheetViews>
    <sheetView zoomScale="80" zoomScaleNormal="80" workbookViewId="0">
      <selection activeCell="A7" sqref="A7"/>
    </sheetView>
  </sheetViews>
  <sheetFormatPr defaultColWidth="9.109375" defaultRowHeight="14.4" x14ac:dyDescent="0.3"/>
  <cols>
    <col min="1" max="1" width="43.33203125" style="34" customWidth="1"/>
    <col min="2" max="2" width="23.109375" style="34" customWidth="1"/>
    <col min="3" max="3" width="17.5546875" style="34" customWidth="1"/>
    <col min="4" max="4" width="18.109375" style="34" customWidth="1"/>
    <col min="5" max="5" width="20.44140625" style="34" customWidth="1"/>
    <col min="6" max="6" width="12.33203125" style="34" customWidth="1"/>
    <col min="7" max="7" width="18.6640625" style="34" customWidth="1"/>
    <col min="8" max="8" width="12.5546875" style="34" customWidth="1"/>
    <col min="9" max="9" width="9.109375" style="34"/>
    <col min="10" max="10" width="54.5546875" style="34" customWidth="1"/>
    <col min="11" max="16384" width="9.109375" style="34"/>
  </cols>
  <sheetData>
    <row r="1" spans="1:10" ht="78" x14ac:dyDescent="0.3">
      <c r="A1" s="25" t="s">
        <v>12</v>
      </c>
      <c r="B1" s="125" t="s">
        <v>13</v>
      </c>
      <c r="C1" s="27" t="s">
        <v>89</v>
      </c>
      <c r="D1" s="27" t="s">
        <v>90</v>
      </c>
      <c r="E1" s="28" t="s">
        <v>168</v>
      </c>
      <c r="F1" s="277" t="s">
        <v>91</v>
      </c>
      <c r="G1" s="29" t="s">
        <v>14</v>
      </c>
      <c r="H1" s="129" t="s">
        <v>25</v>
      </c>
      <c r="J1" s="280" t="s">
        <v>170</v>
      </c>
    </row>
    <row r="2" spans="1:10" ht="15.6" x14ac:dyDescent="0.3">
      <c r="A2" s="299" t="s">
        <v>173</v>
      </c>
      <c r="B2" s="300"/>
      <c r="C2" s="301"/>
      <c r="D2" s="30"/>
      <c r="E2" s="31"/>
      <c r="F2" s="32"/>
      <c r="G2" s="33"/>
      <c r="H2" s="34">
        <f>IF(G26&gt;0,1,0)</f>
        <v>0</v>
      </c>
    </row>
    <row r="3" spans="1:10" ht="15.6" x14ac:dyDescent="0.3">
      <c r="A3" s="278" t="s">
        <v>115</v>
      </c>
      <c r="B3" s="44" t="s">
        <v>43</v>
      </c>
      <c r="C3" s="36">
        <f>'Cennik enova365'!H7</f>
        <v>449</v>
      </c>
      <c r="D3" s="36">
        <f>'Cennik enova365'!I7</f>
        <v>516</v>
      </c>
      <c r="E3" s="37">
        <v>0</v>
      </c>
      <c r="F3" s="37">
        <v>0</v>
      </c>
      <c r="G3" s="38">
        <f>IF(F3=0,C3*E3,IF(OR(AND(E3=0,F3&lt;&gt;0),F3&gt;E3),"błąd",((E3-F3)*C3)+(D3*F3)))</f>
        <v>0</v>
      </c>
      <c r="H3" s="34">
        <f t="shared" ref="H3:H26" si="0">IF(G3&gt;0,1,0)</f>
        <v>0</v>
      </c>
    </row>
    <row r="4" spans="1:10" ht="15.6" x14ac:dyDescent="0.3">
      <c r="A4" s="278" t="s">
        <v>116</v>
      </c>
      <c r="B4" s="44" t="s">
        <v>43</v>
      </c>
      <c r="C4" s="36">
        <f>'Cennik enova365'!H8</f>
        <v>84</v>
      </c>
      <c r="D4" s="36">
        <f>'Cennik enova365'!I8</f>
        <v>97</v>
      </c>
      <c r="E4" s="37">
        <v>0</v>
      </c>
      <c r="F4" s="37">
        <v>0</v>
      </c>
      <c r="G4" s="38">
        <f t="shared" ref="G4:G25" si="1">IF(F4=0,C4*E4,IF(OR(AND(E4=0,F4&lt;&gt;0),F4&gt;E4),"błąd",((E4-F4)*C4)+(D4*F4)))</f>
        <v>0</v>
      </c>
      <c r="H4" s="34">
        <f t="shared" si="0"/>
        <v>0</v>
      </c>
      <c r="J4" s="280"/>
    </row>
    <row r="5" spans="1:10" ht="15.6" x14ac:dyDescent="0.3">
      <c r="A5" s="278" t="s">
        <v>117</v>
      </c>
      <c r="B5" s="44" t="s">
        <v>43</v>
      </c>
      <c r="C5" s="36">
        <f>'Cennik enova365'!H9</f>
        <v>399</v>
      </c>
      <c r="D5" s="36">
        <f>'Cennik enova365'!I9</f>
        <v>459</v>
      </c>
      <c r="E5" s="37">
        <v>0</v>
      </c>
      <c r="F5" s="37">
        <v>0</v>
      </c>
      <c r="G5" s="38">
        <f t="shared" si="1"/>
        <v>0</v>
      </c>
      <c r="H5" s="34">
        <f t="shared" si="0"/>
        <v>0</v>
      </c>
      <c r="J5" s="280"/>
    </row>
    <row r="6" spans="1:10" ht="15.6" x14ac:dyDescent="0.3">
      <c r="A6" s="278" t="s">
        <v>118</v>
      </c>
      <c r="B6" s="44" t="s">
        <v>43</v>
      </c>
      <c r="C6" s="36">
        <f>'Cennik enova365'!H10</f>
        <v>200</v>
      </c>
      <c r="D6" s="36">
        <f>'Cennik enova365'!I10</f>
        <v>230</v>
      </c>
      <c r="E6" s="37">
        <v>0</v>
      </c>
      <c r="F6" s="37">
        <v>0</v>
      </c>
      <c r="G6" s="38">
        <f t="shared" si="1"/>
        <v>0</v>
      </c>
      <c r="H6" s="34">
        <f t="shared" si="0"/>
        <v>0</v>
      </c>
      <c r="J6" s="280"/>
    </row>
    <row r="7" spans="1:10" ht="31.2" x14ac:dyDescent="0.3">
      <c r="A7" s="193" t="s">
        <v>119</v>
      </c>
      <c r="B7" s="44" t="s">
        <v>43</v>
      </c>
      <c r="C7" s="36">
        <f>'Cennik enova365'!H11</f>
        <v>32</v>
      </c>
      <c r="D7" s="36">
        <f>'Cennik enova365'!I11</f>
        <v>40</v>
      </c>
      <c r="E7" s="37">
        <v>0</v>
      </c>
      <c r="F7" s="37">
        <v>0</v>
      </c>
      <c r="G7" s="38">
        <f t="shared" si="1"/>
        <v>0</v>
      </c>
      <c r="H7" s="34">
        <v>0</v>
      </c>
      <c r="J7" s="280"/>
    </row>
    <row r="8" spans="1:10" ht="15.6" x14ac:dyDescent="0.3">
      <c r="A8" s="193" t="s">
        <v>169</v>
      </c>
      <c r="B8" s="44" t="s">
        <v>43</v>
      </c>
      <c r="C8" s="36">
        <f>'Cennik enova365'!H12</f>
        <v>71</v>
      </c>
      <c r="D8" s="36">
        <f>'Cennik enova365'!I12</f>
        <v>85</v>
      </c>
      <c r="E8" s="37">
        <v>0</v>
      </c>
      <c r="F8" s="37">
        <v>0</v>
      </c>
      <c r="G8" s="38">
        <f t="shared" si="1"/>
        <v>0</v>
      </c>
      <c r="H8" s="34">
        <v>0</v>
      </c>
      <c r="J8" s="280"/>
    </row>
    <row r="9" spans="1:10" ht="15.6" x14ac:dyDescent="0.3">
      <c r="A9" s="278" t="s">
        <v>120</v>
      </c>
      <c r="B9" s="44" t="s">
        <v>43</v>
      </c>
      <c r="C9" s="36">
        <f>'Cennik enova365'!H13</f>
        <v>120</v>
      </c>
      <c r="D9" s="36">
        <f>'Cennik enova365'!I13</f>
        <v>138</v>
      </c>
      <c r="E9" s="37">
        <v>0</v>
      </c>
      <c r="F9" s="37">
        <v>0</v>
      </c>
      <c r="G9" s="38">
        <f t="shared" si="1"/>
        <v>0</v>
      </c>
      <c r="H9" s="34">
        <f t="shared" si="0"/>
        <v>0</v>
      </c>
    </row>
    <row r="10" spans="1:10" ht="15.6" x14ac:dyDescent="0.3">
      <c r="A10" s="278" t="s">
        <v>121</v>
      </c>
      <c r="B10" s="44" t="s">
        <v>43</v>
      </c>
      <c r="C10" s="36">
        <f>'Cennik enova365'!H14</f>
        <v>300</v>
      </c>
      <c r="D10" s="36">
        <f>'Cennik enova365'!I14</f>
        <v>345</v>
      </c>
      <c r="E10" s="37">
        <v>0</v>
      </c>
      <c r="F10" s="37">
        <v>0</v>
      </c>
      <c r="G10" s="38">
        <f>IF(AND((E9+F9&gt;0),(E10+F10&gt;0)),"usuń Faktury",IF(F10=0,C10*E10,IF(OR(AND(E10=0,F10&lt;&gt;0),F10&gt;E10),"błąd",((E10-F10)*C10)+(D10*F10))))</f>
        <v>0</v>
      </c>
      <c r="H10" s="34">
        <f t="shared" si="0"/>
        <v>0</v>
      </c>
      <c r="J10" s="284" t="str">
        <f>IF(G10="usuń Faktury","Faktur i Handlu nie można łączyć w ramach jednej licencji"," ")</f>
        <v xml:space="preserve"> </v>
      </c>
    </row>
    <row r="11" spans="1:10" ht="15.6" x14ac:dyDescent="0.3">
      <c r="A11" s="106" t="s">
        <v>122</v>
      </c>
      <c r="B11" s="44" t="s">
        <v>43</v>
      </c>
      <c r="C11" s="36">
        <f>'Cennik enova365'!H15</f>
        <v>336</v>
      </c>
      <c r="D11" s="36">
        <f>'Cennik enova365'!I15</f>
        <v>386</v>
      </c>
      <c r="E11" s="37">
        <v>0</v>
      </c>
      <c r="F11" s="37">
        <v>0</v>
      </c>
      <c r="G11" s="38">
        <f t="shared" si="1"/>
        <v>0</v>
      </c>
      <c r="H11" s="34">
        <f t="shared" si="0"/>
        <v>0</v>
      </c>
    </row>
    <row r="12" spans="1:10" ht="15.6" x14ac:dyDescent="0.3">
      <c r="A12" s="106" t="s">
        <v>123</v>
      </c>
      <c r="B12" s="44" t="s">
        <v>43</v>
      </c>
      <c r="C12" s="36">
        <f>'Cennik enova365'!H16</f>
        <v>360</v>
      </c>
      <c r="D12" s="36">
        <f>'Cennik enova365'!I16</f>
        <v>414</v>
      </c>
      <c r="E12" s="37">
        <v>0</v>
      </c>
      <c r="F12" s="37">
        <v>0</v>
      </c>
      <c r="G12" s="38">
        <f t="shared" si="1"/>
        <v>0</v>
      </c>
      <c r="H12" s="34">
        <f t="shared" si="0"/>
        <v>0</v>
      </c>
    </row>
    <row r="13" spans="1:10" ht="15.6" x14ac:dyDescent="0.3">
      <c r="A13" s="278" t="s">
        <v>124</v>
      </c>
      <c r="B13" s="44" t="s">
        <v>43</v>
      </c>
      <c r="C13" s="36">
        <f>'Cennik enova365'!H17</f>
        <v>206</v>
      </c>
      <c r="D13" s="36">
        <f>'Cennik enova365'!I17</f>
        <v>237</v>
      </c>
      <c r="E13" s="37">
        <v>0</v>
      </c>
      <c r="F13" s="37">
        <v>0</v>
      </c>
      <c r="G13" s="38">
        <f t="shared" si="1"/>
        <v>0</v>
      </c>
      <c r="H13" s="34">
        <f>IF(G13&gt;0,1,0)</f>
        <v>0</v>
      </c>
      <c r="J13" s="280" t="str">
        <f>IF(E13+F13&gt;0,"zawiera pełną funcjonalność e-mail"," ")</f>
        <v xml:space="preserve"> </v>
      </c>
    </row>
    <row r="14" spans="1:10" ht="15.6" x14ac:dyDescent="0.3">
      <c r="A14" s="278" t="s">
        <v>125</v>
      </c>
      <c r="B14" s="44" t="s">
        <v>43</v>
      </c>
      <c r="C14" s="36">
        <f>'Cennik enova365'!H18</f>
        <v>160</v>
      </c>
      <c r="D14" s="36">
        <f>'Cennik enova365'!I18</f>
        <v>184</v>
      </c>
      <c r="E14" s="37">
        <v>0</v>
      </c>
      <c r="F14" s="37">
        <v>0</v>
      </c>
      <c r="G14" s="38">
        <f t="shared" si="1"/>
        <v>0</v>
      </c>
      <c r="H14" s="34">
        <f t="shared" si="0"/>
        <v>0</v>
      </c>
    </row>
    <row r="15" spans="1:10" ht="15.6" x14ac:dyDescent="0.3">
      <c r="A15" s="278" t="s">
        <v>126</v>
      </c>
      <c r="B15" s="44" t="s">
        <v>43</v>
      </c>
      <c r="C15" s="36">
        <f>'Cennik enova365'!H19</f>
        <v>160</v>
      </c>
      <c r="D15" s="36">
        <f>'Cennik enova365'!I19</f>
        <v>184</v>
      </c>
      <c r="E15" s="37">
        <v>0</v>
      </c>
      <c r="F15" s="37">
        <v>0</v>
      </c>
      <c r="G15" s="38">
        <f t="shared" si="1"/>
        <v>0</v>
      </c>
      <c r="H15" s="34">
        <f t="shared" si="0"/>
        <v>0</v>
      </c>
    </row>
    <row r="16" spans="1:10" ht="15.6" x14ac:dyDescent="0.3">
      <c r="A16" s="278" t="s">
        <v>127</v>
      </c>
      <c r="B16" s="44" t="s">
        <v>43</v>
      </c>
      <c r="C16" s="36">
        <f>'Cennik enova365'!H20</f>
        <v>160</v>
      </c>
      <c r="D16" s="36">
        <f>'Cennik enova365'!I20</f>
        <v>184</v>
      </c>
      <c r="E16" s="37">
        <v>0</v>
      </c>
      <c r="F16" s="37">
        <v>0</v>
      </c>
      <c r="G16" s="38">
        <f t="shared" si="1"/>
        <v>0</v>
      </c>
      <c r="H16" s="34">
        <f>IF(G16&gt;0,1,0)</f>
        <v>0</v>
      </c>
    </row>
    <row r="17" spans="1:10" ht="15.6" x14ac:dyDescent="0.3">
      <c r="A17" s="278" t="s">
        <v>128</v>
      </c>
      <c r="B17" s="44" t="s">
        <v>43</v>
      </c>
      <c r="C17" s="36">
        <f>'Cennik enova365'!H21</f>
        <v>240</v>
      </c>
      <c r="D17" s="36">
        <f>'Cennik enova365'!I21</f>
        <v>276</v>
      </c>
      <c r="E17" s="37">
        <v>0</v>
      </c>
      <c r="F17" s="37">
        <v>0</v>
      </c>
      <c r="G17" s="38">
        <f t="shared" si="1"/>
        <v>0</v>
      </c>
      <c r="H17" s="34">
        <f t="shared" si="0"/>
        <v>0</v>
      </c>
    </row>
    <row r="18" spans="1:10" ht="15.6" x14ac:dyDescent="0.3">
      <c r="A18" s="278" t="s">
        <v>129</v>
      </c>
      <c r="B18" s="44" t="s">
        <v>43</v>
      </c>
      <c r="C18" s="36">
        <f>'Cennik enova365'!H22</f>
        <v>360</v>
      </c>
      <c r="D18" s="36">
        <f>'Cennik enova365'!I22</f>
        <v>414</v>
      </c>
      <c r="E18" s="37">
        <v>0</v>
      </c>
      <c r="F18" s="37">
        <v>0</v>
      </c>
      <c r="G18" s="38">
        <f t="shared" si="1"/>
        <v>0</v>
      </c>
      <c r="H18" s="34">
        <f t="shared" si="0"/>
        <v>0</v>
      </c>
      <c r="J18" s="280" t="str">
        <f>IF(E18+F18&gt;0,"zawiera pełną funcjonalność CRM oraz e-mail"," ")</f>
        <v xml:space="preserve"> </v>
      </c>
    </row>
    <row r="19" spans="1:10" ht="15.6" x14ac:dyDescent="0.3">
      <c r="A19" s="106" t="s">
        <v>130</v>
      </c>
      <c r="B19" s="44" t="s">
        <v>43</v>
      </c>
      <c r="C19" s="36">
        <f>'Cennik enova365'!H23</f>
        <v>48</v>
      </c>
      <c r="D19" s="36">
        <f>'Cennik enova365'!I23</f>
        <v>48</v>
      </c>
      <c r="E19" s="37">
        <v>0</v>
      </c>
      <c r="F19" s="37">
        <v>0</v>
      </c>
      <c r="G19" s="38">
        <f t="shared" si="1"/>
        <v>0</v>
      </c>
      <c r="H19" s="34">
        <f>IF(G19&gt;0,1,0)</f>
        <v>0</v>
      </c>
    </row>
    <row r="20" spans="1:10" ht="15.6" x14ac:dyDescent="0.3">
      <c r="A20" s="106" t="s">
        <v>131</v>
      </c>
      <c r="B20" s="44" t="s">
        <v>43</v>
      </c>
      <c r="C20" s="36">
        <f>'Cennik enova365'!H24</f>
        <v>32</v>
      </c>
      <c r="D20" s="36">
        <f>'Cennik enova365'!I24</f>
        <v>32</v>
      </c>
      <c r="E20" s="37">
        <v>0</v>
      </c>
      <c r="F20" s="37">
        <v>0</v>
      </c>
      <c r="G20" s="38">
        <f t="shared" si="1"/>
        <v>0</v>
      </c>
      <c r="H20" s="34">
        <f t="shared" si="0"/>
        <v>0</v>
      </c>
    </row>
    <row r="21" spans="1:10" ht="15.6" x14ac:dyDescent="0.3">
      <c r="A21" s="106" t="s">
        <v>132</v>
      </c>
      <c r="B21" s="44" t="s">
        <v>43</v>
      </c>
      <c r="C21" s="36">
        <f>'Cennik enova365'!H25</f>
        <v>199</v>
      </c>
      <c r="D21" s="36"/>
      <c r="E21" s="178"/>
      <c r="F21" s="180"/>
      <c r="G21" s="38">
        <f>IF(OR(E19&gt;0,E20&gt;0),C21,0)</f>
        <v>0</v>
      </c>
      <c r="H21" s="34">
        <f>IF(G21&gt;0,1,0)</f>
        <v>0</v>
      </c>
    </row>
    <row r="22" spans="1:10" ht="15.6" x14ac:dyDescent="0.3">
      <c r="A22" s="106" t="s">
        <v>133</v>
      </c>
      <c r="B22" s="44" t="s">
        <v>43</v>
      </c>
      <c r="C22" s="36">
        <f>'Cennik enova365'!H26</f>
        <v>120</v>
      </c>
      <c r="D22" s="36">
        <f>'Cennik enova365'!I26</f>
        <v>138</v>
      </c>
      <c r="E22" s="37">
        <v>0</v>
      </c>
      <c r="F22" s="37">
        <v>0</v>
      </c>
      <c r="G22" s="38">
        <f t="shared" si="1"/>
        <v>0</v>
      </c>
      <c r="H22" s="34">
        <f>IF(G22&gt;0,1,0)</f>
        <v>0</v>
      </c>
      <c r="J22" s="283" t="str">
        <f>IF(F22&gt;0,"jeżeli planujemy korzystać z Poglądu multi to na licencji musi być min. 1 st. multi w ramach poglądanego modułu"," ")</f>
        <v xml:space="preserve"> </v>
      </c>
    </row>
    <row r="23" spans="1:10" ht="15.6" x14ac:dyDescent="0.3">
      <c r="A23" s="106" t="s">
        <v>134</v>
      </c>
      <c r="B23" s="44" t="s">
        <v>43</v>
      </c>
      <c r="C23" s="36">
        <f>'Cennik enova365'!H27</f>
        <v>320</v>
      </c>
      <c r="D23" s="36">
        <f>'Cennik enova365'!I27</f>
        <v>368</v>
      </c>
      <c r="E23" s="37">
        <v>0</v>
      </c>
      <c r="F23" s="37">
        <v>0</v>
      </c>
      <c r="G23" s="38">
        <f t="shared" si="1"/>
        <v>0</v>
      </c>
      <c r="H23" s="34">
        <f t="shared" si="0"/>
        <v>0</v>
      </c>
    </row>
    <row r="24" spans="1:10" ht="15.6" x14ac:dyDescent="0.3">
      <c r="A24" s="278" t="s">
        <v>135</v>
      </c>
      <c r="B24" s="44" t="s">
        <v>43</v>
      </c>
      <c r="C24" s="36">
        <f>'Cennik enova365'!H28</f>
        <v>120</v>
      </c>
      <c r="D24" s="36">
        <f>'Cennik enova365'!I28</f>
        <v>138</v>
      </c>
      <c r="E24" s="37">
        <v>0</v>
      </c>
      <c r="F24" s="37">
        <v>0</v>
      </c>
      <c r="G24" s="38">
        <f t="shared" si="1"/>
        <v>0</v>
      </c>
      <c r="H24" s="34">
        <f t="shared" si="0"/>
        <v>0</v>
      </c>
    </row>
    <row r="25" spans="1:10" ht="15.6" x14ac:dyDescent="0.3">
      <c r="A25" s="106" t="s">
        <v>136</v>
      </c>
      <c r="B25" s="44" t="s">
        <v>43</v>
      </c>
      <c r="C25" s="36">
        <f>'Cennik enova365'!H29</f>
        <v>88</v>
      </c>
      <c r="D25" s="36">
        <f>'Cennik enova365'!I29</f>
        <v>101</v>
      </c>
      <c r="E25" s="37">
        <v>0</v>
      </c>
      <c r="F25" s="37">
        <v>0</v>
      </c>
      <c r="G25" s="38">
        <f t="shared" si="1"/>
        <v>0</v>
      </c>
      <c r="H25" s="34">
        <f t="shared" si="0"/>
        <v>0</v>
      </c>
    </row>
    <row r="26" spans="1:10" ht="15.6" x14ac:dyDescent="0.3">
      <c r="A26" s="137" t="s">
        <v>28</v>
      </c>
      <c r="B26" s="107"/>
      <c r="C26" s="108"/>
      <c r="D26" s="108"/>
      <c r="E26" s="107"/>
      <c r="F26" s="109"/>
      <c r="G26" s="60">
        <f>SUM(G3:G24)</f>
        <v>0</v>
      </c>
      <c r="H26" s="34">
        <f t="shared" si="0"/>
        <v>0</v>
      </c>
    </row>
    <row r="27" spans="1:10" s="12" customFormat="1" ht="15.6" x14ac:dyDescent="0.3">
      <c r="A27" s="302" t="s">
        <v>171</v>
      </c>
      <c r="B27" s="303"/>
      <c r="C27" s="304"/>
      <c r="D27" s="50"/>
      <c r="E27" s="198" t="s">
        <v>44</v>
      </c>
      <c r="F27" s="199" t="s">
        <v>45</v>
      </c>
      <c r="G27" s="194"/>
      <c r="H27" s="152">
        <f>H33</f>
        <v>0</v>
      </c>
    </row>
    <row r="28" spans="1:10" s="12" customFormat="1" ht="15.6" x14ac:dyDescent="0.3">
      <c r="A28" s="195" t="s">
        <v>166</v>
      </c>
      <c r="B28" s="53"/>
      <c r="C28" s="36">
        <f>'Cennik enova365'!D130</f>
        <v>287</v>
      </c>
      <c r="D28" s="36">
        <f>'Cennik enova365'!E130</f>
        <v>344</v>
      </c>
      <c r="E28" s="37" t="s">
        <v>4</v>
      </c>
      <c r="F28" s="37" t="s">
        <v>4</v>
      </c>
      <c r="G28" s="38">
        <f>IF(AND(E3=0,E28="TAK"),"Dodaj Kadry",IF(AND(E28="TAK",F28="NIE"),C28,IF(AND(E28="TAK",F28="TAK"),D28,IF(AND(E28="NIE",F28="TAK"),"błąd",0))))</f>
        <v>0</v>
      </c>
      <c r="H28" s="152">
        <f t="shared" ref="H28:H33" si="2">IF(G28&gt;0,1,0)</f>
        <v>0</v>
      </c>
    </row>
    <row r="29" spans="1:10" s="12" customFormat="1" ht="15.6" x14ac:dyDescent="0.3">
      <c r="A29" s="195" t="s">
        <v>93</v>
      </c>
      <c r="B29" s="53"/>
      <c r="C29" s="36">
        <f>'Cennik enova365'!D131</f>
        <v>287</v>
      </c>
      <c r="D29" s="36">
        <f>'Cennik enova365'!E131</f>
        <v>344</v>
      </c>
      <c r="E29" s="37" t="s">
        <v>4</v>
      </c>
      <c r="F29" s="37" t="s">
        <v>4</v>
      </c>
      <c r="G29" s="38">
        <f>IF(AND(SUM(E4:E5)=0,E29="TAK"),"Dodaj Ksiegowość",IF(AND(E29="TAK",F29="NIE"),C29,IF(AND(E29="TAK",F29="TAK"),D29,IF(AND(E29="NIE",F29="TAK"),"błąd",0))))</f>
        <v>0</v>
      </c>
      <c r="H29" s="152">
        <f t="shared" si="2"/>
        <v>0</v>
      </c>
    </row>
    <row r="30" spans="1:10" s="12" customFormat="1" ht="15.6" x14ac:dyDescent="0.3">
      <c r="A30" s="195" t="s">
        <v>95</v>
      </c>
      <c r="B30" s="53"/>
      <c r="C30" s="36">
        <f>'Cennik enova365'!D132</f>
        <v>287</v>
      </c>
      <c r="D30" s="36">
        <f>'Cennik enova365'!E132</f>
        <v>344</v>
      </c>
      <c r="E30" s="37" t="s">
        <v>4</v>
      </c>
      <c r="F30" s="37" t="s">
        <v>4</v>
      </c>
      <c r="G30" s="38">
        <f>IF(AND(SUM(E9:E10)=0,E30="TAK"),"Dodaj Handel lub FV",IF(AND(E30="TAK",F30="NIE"),C30,IF(AND(E30="TAK",F30="TAK"),D30,IF(AND(E30="NIE",F30="TAK"),"błąd",0))))</f>
        <v>0</v>
      </c>
      <c r="H30" s="152">
        <f t="shared" si="2"/>
        <v>0</v>
      </c>
    </row>
    <row r="31" spans="1:10" s="12" customFormat="1" ht="15.6" x14ac:dyDescent="0.3">
      <c r="A31" s="195" t="s">
        <v>96</v>
      </c>
      <c r="B31" s="53"/>
      <c r="C31" s="36">
        <f>'Cennik enova365'!D133</f>
        <v>287</v>
      </c>
      <c r="D31" s="36">
        <f>'Cennik enova365'!E133</f>
        <v>344</v>
      </c>
      <c r="E31" s="37" t="s">
        <v>4</v>
      </c>
      <c r="F31" s="37" t="s">
        <v>4</v>
      </c>
      <c r="G31" s="38">
        <f>IF(AND(SUM(E13,E18)=0,E31="TAK"),"Dodaj CRM lub Proj",IF(AND(E31="TAK",F31="NIE"),C31,IF(AND(E31="TAK",F31="TAK"),D31,IF(AND(E31="NIE",F31="TAK"),"błąd",0))))</f>
        <v>0</v>
      </c>
      <c r="H31" s="152">
        <f t="shared" si="2"/>
        <v>0</v>
      </c>
    </row>
    <row r="32" spans="1:10" s="12" customFormat="1" ht="15.6" x14ac:dyDescent="0.3">
      <c r="A32" s="195" t="s">
        <v>97</v>
      </c>
      <c r="B32" s="53"/>
      <c r="C32" s="36">
        <f>'Cennik enova365'!D134</f>
        <v>1999</v>
      </c>
      <c r="D32" s="36">
        <f>'Cennik enova365'!E134</f>
        <v>2399</v>
      </c>
      <c r="E32" s="37" t="s">
        <v>4</v>
      </c>
      <c r="F32" s="37" t="s">
        <v>4</v>
      </c>
      <c r="G32" s="38">
        <f>IF(AND(SUM(G28:G31)&gt;0,E32="TAK"),"błąd",IF(AND(E32="TAK",F32="NIE"),C32,IF(AND(E32="TAK",F32="TAK"),D32,IF(AND(E32="NIE",F32="TAK"),"błąd",0))))</f>
        <v>0</v>
      </c>
      <c r="H32" s="152">
        <f t="shared" si="2"/>
        <v>0</v>
      </c>
    </row>
    <row r="33" spans="1:14" s="12" customFormat="1" ht="15.6" x14ac:dyDescent="0.3">
      <c r="A33" s="157" t="s">
        <v>99</v>
      </c>
      <c r="B33" s="197"/>
      <c r="C33" s="159"/>
      <c r="D33" s="159"/>
      <c r="E33" s="160"/>
      <c r="F33" s="161"/>
      <c r="G33" s="41">
        <f>SUM(G28:G32)</f>
        <v>0</v>
      </c>
      <c r="H33" s="152">
        <f t="shared" si="2"/>
        <v>0</v>
      </c>
    </row>
    <row r="34" spans="1:14" ht="47.25" customHeight="1" x14ac:dyDescent="0.3">
      <c r="A34" s="305" t="s">
        <v>177</v>
      </c>
      <c r="B34" s="315"/>
      <c r="C34" s="316"/>
      <c r="D34" s="126" t="s">
        <v>85</v>
      </c>
      <c r="E34" s="140"/>
      <c r="F34" s="88"/>
      <c r="G34" s="127"/>
      <c r="H34" s="34">
        <f>H60</f>
        <v>0</v>
      </c>
    </row>
    <row r="35" spans="1:14" ht="15.6" x14ac:dyDescent="0.3">
      <c r="A35" s="293" t="s">
        <v>106</v>
      </c>
      <c r="B35" s="294"/>
      <c r="C35" s="295"/>
      <c r="D35" s="39">
        <f>'Cennik enova365'!B51</f>
        <v>166</v>
      </c>
      <c r="E35" s="37" t="s">
        <v>4</v>
      </c>
      <c r="F35" s="55"/>
      <c r="G35" s="38">
        <v>0</v>
      </c>
      <c r="H35" s="34">
        <f>IF(E35="TAK",1,0)</f>
        <v>0</v>
      </c>
      <c r="I35" s="317"/>
      <c r="J35" s="317"/>
      <c r="K35" s="317"/>
      <c r="L35" s="317"/>
      <c r="M35" s="317"/>
      <c r="N35" s="317"/>
    </row>
    <row r="36" spans="1:14" ht="15.6" x14ac:dyDescent="0.3">
      <c r="A36" s="293" t="s">
        <v>52</v>
      </c>
      <c r="B36" s="294"/>
      <c r="C36" s="295"/>
      <c r="D36" s="39">
        <f>'Cennik enova365'!B52</f>
        <v>166</v>
      </c>
      <c r="E36" s="37" t="s">
        <v>4</v>
      </c>
      <c r="F36" s="55"/>
      <c r="G36" s="38">
        <v>0</v>
      </c>
      <c r="H36" s="34">
        <f t="shared" ref="H36:H59" si="3">IF(E36="TAK",1,0)</f>
        <v>0</v>
      </c>
    </row>
    <row r="37" spans="1:14" ht="15.6" x14ac:dyDescent="0.3">
      <c r="A37" s="293" t="s">
        <v>107</v>
      </c>
      <c r="B37" s="294"/>
      <c r="C37" s="295"/>
      <c r="D37" s="39">
        <f>'Cennik enova365'!B53</f>
        <v>500</v>
      </c>
      <c r="E37" s="37" t="s">
        <v>4</v>
      </c>
      <c r="F37" s="55"/>
      <c r="G37" s="38">
        <v>0</v>
      </c>
      <c r="H37" s="34">
        <f t="shared" si="3"/>
        <v>0</v>
      </c>
    </row>
    <row r="38" spans="1:14" ht="15.6" x14ac:dyDescent="0.3">
      <c r="A38" s="293" t="s">
        <v>108</v>
      </c>
      <c r="B38" s="294"/>
      <c r="C38" s="295"/>
      <c r="D38" s="39">
        <f>'Cennik enova365'!B54</f>
        <v>47</v>
      </c>
      <c r="E38" s="37" t="s">
        <v>4</v>
      </c>
      <c r="F38" s="55"/>
      <c r="G38" s="38">
        <v>0</v>
      </c>
      <c r="H38" s="34">
        <f t="shared" si="3"/>
        <v>0</v>
      </c>
    </row>
    <row r="39" spans="1:14" ht="15.6" x14ac:dyDescent="0.3">
      <c r="A39" s="293" t="s">
        <v>53</v>
      </c>
      <c r="B39" s="294"/>
      <c r="C39" s="295"/>
      <c r="D39" s="39">
        <f>'Cennik enova365'!B55</f>
        <v>133</v>
      </c>
      <c r="E39" s="37" t="s">
        <v>4</v>
      </c>
      <c r="F39" s="55"/>
      <c r="G39" s="38">
        <v>0</v>
      </c>
      <c r="H39" s="34">
        <f t="shared" si="3"/>
        <v>0</v>
      </c>
    </row>
    <row r="40" spans="1:14" ht="15.6" x14ac:dyDescent="0.3">
      <c r="A40" s="293" t="s">
        <v>109</v>
      </c>
      <c r="B40" s="294"/>
      <c r="C40" s="295"/>
      <c r="D40" s="39">
        <f>'Cennik enova365'!B56</f>
        <v>133</v>
      </c>
      <c r="E40" s="37" t="s">
        <v>4</v>
      </c>
      <c r="F40" s="55"/>
      <c r="G40" s="38">
        <v>0</v>
      </c>
      <c r="H40" s="34">
        <f t="shared" si="3"/>
        <v>0</v>
      </c>
    </row>
    <row r="41" spans="1:14" ht="15.6" x14ac:dyDescent="0.3">
      <c r="A41" s="293" t="s">
        <v>105</v>
      </c>
      <c r="B41" s="294"/>
      <c r="C41" s="295"/>
      <c r="D41" s="39">
        <f>'Cennik enova365'!B57</f>
        <v>99</v>
      </c>
      <c r="E41" s="37" t="s">
        <v>4</v>
      </c>
      <c r="F41" s="55"/>
      <c r="G41" s="38">
        <v>0</v>
      </c>
      <c r="H41" s="34">
        <f t="shared" si="3"/>
        <v>0</v>
      </c>
    </row>
    <row r="42" spans="1:14" ht="15.6" x14ac:dyDescent="0.3">
      <c r="A42" s="293" t="s">
        <v>199</v>
      </c>
      <c r="B42" s="294"/>
      <c r="C42" s="295"/>
      <c r="D42" s="39">
        <f>'Cennik enova365'!B58</f>
        <v>59</v>
      </c>
      <c r="E42" s="37" t="s">
        <v>4</v>
      </c>
      <c r="F42" s="55"/>
      <c r="G42" s="38">
        <v>0</v>
      </c>
      <c r="H42" s="34">
        <f t="shared" ref="H42" si="4">IF(E42="TAK",1,0)</f>
        <v>0</v>
      </c>
    </row>
    <row r="43" spans="1:14" ht="15.6" x14ac:dyDescent="0.3">
      <c r="A43" s="293" t="s">
        <v>92</v>
      </c>
      <c r="B43" s="294"/>
      <c r="C43" s="295"/>
      <c r="D43" s="39">
        <f>'Cennik enova365'!B59</f>
        <v>166</v>
      </c>
      <c r="E43" s="37" t="s">
        <v>4</v>
      </c>
      <c r="F43" s="55"/>
      <c r="G43" s="38">
        <v>0</v>
      </c>
      <c r="H43" s="34">
        <f t="shared" si="3"/>
        <v>0</v>
      </c>
    </row>
    <row r="44" spans="1:14" ht="15.6" x14ac:dyDescent="0.3">
      <c r="A44" s="293" t="s">
        <v>47</v>
      </c>
      <c r="B44" s="294"/>
      <c r="C44" s="295"/>
      <c r="D44" s="39">
        <f>'Cennik enova365'!B60</f>
        <v>133</v>
      </c>
      <c r="E44" s="37" t="s">
        <v>4</v>
      </c>
      <c r="F44" s="55"/>
      <c r="G44" s="38">
        <v>0</v>
      </c>
      <c r="H44" s="34">
        <f t="shared" si="3"/>
        <v>0</v>
      </c>
    </row>
    <row r="45" spans="1:14" ht="15.6" x14ac:dyDescent="0.3">
      <c r="A45" s="293" t="s">
        <v>48</v>
      </c>
      <c r="B45" s="294"/>
      <c r="C45" s="295"/>
      <c r="D45" s="39">
        <f>'Cennik enova365'!B61</f>
        <v>146</v>
      </c>
      <c r="E45" s="37" t="s">
        <v>4</v>
      </c>
      <c r="F45" s="55"/>
      <c r="G45" s="38">
        <v>0</v>
      </c>
      <c r="H45" s="34">
        <f t="shared" si="3"/>
        <v>0</v>
      </c>
    </row>
    <row r="46" spans="1:14" ht="15.6" x14ac:dyDescent="0.3">
      <c r="A46" s="293" t="s">
        <v>49</v>
      </c>
      <c r="B46" s="294"/>
      <c r="C46" s="295"/>
      <c r="D46" s="39">
        <f>'Cennik enova365'!B62</f>
        <v>166</v>
      </c>
      <c r="E46" s="37" t="s">
        <v>4</v>
      </c>
      <c r="F46" s="55"/>
      <c r="G46" s="38">
        <v>0</v>
      </c>
      <c r="H46" s="34">
        <f t="shared" si="3"/>
        <v>0</v>
      </c>
    </row>
    <row r="47" spans="1:14" ht="15.6" x14ac:dyDescent="0.3">
      <c r="A47" s="293" t="s">
        <v>50</v>
      </c>
      <c r="B47" s="294"/>
      <c r="C47" s="295"/>
      <c r="D47" s="39">
        <f>'Cennik enova365'!B63</f>
        <v>99</v>
      </c>
      <c r="E47" s="37" t="s">
        <v>4</v>
      </c>
      <c r="F47" s="55"/>
      <c r="G47" s="38">
        <v>0</v>
      </c>
      <c r="H47" s="34">
        <f t="shared" si="3"/>
        <v>0</v>
      </c>
    </row>
    <row r="48" spans="1:14" ht="15.6" x14ac:dyDescent="0.3">
      <c r="A48" s="293" t="s">
        <v>51</v>
      </c>
      <c r="B48" s="294"/>
      <c r="C48" s="295"/>
      <c r="D48" s="39">
        <f>'Cennik enova365'!B64</f>
        <v>99</v>
      </c>
      <c r="E48" s="37" t="s">
        <v>4</v>
      </c>
      <c r="F48" s="55"/>
      <c r="G48" s="38">
        <v>0</v>
      </c>
      <c r="H48" s="34">
        <f t="shared" si="3"/>
        <v>0</v>
      </c>
    </row>
    <row r="49" spans="1:8" ht="15.6" x14ac:dyDescent="0.3">
      <c r="A49" s="293" t="s">
        <v>54</v>
      </c>
      <c r="B49" s="294"/>
      <c r="C49" s="295"/>
      <c r="D49" s="39">
        <f>'Cennik enova365'!B65</f>
        <v>46</v>
      </c>
      <c r="E49" s="37" t="s">
        <v>4</v>
      </c>
      <c r="F49" s="55"/>
      <c r="G49" s="38">
        <v>0</v>
      </c>
      <c r="H49" s="34">
        <f t="shared" si="3"/>
        <v>0</v>
      </c>
    </row>
    <row r="50" spans="1:8" ht="15.6" x14ac:dyDescent="0.3">
      <c r="A50" s="293" t="s">
        <v>59</v>
      </c>
      <c r="B50" s="294"/>
      <c r="C50" s="295"/>
      <c r="D50" s="39">
        <f>'Cennik enova365'!B66</f>
        <v>48</v>
      </c>
      <c r="E50" s="37" t="s">
        <v>4</v>
      </c>
      <c r="F50" s="55"/>
      <c r="G50" s="38">
        <v>0</v>
      </c>
      <c r="H50" s="34">
        <f t="shared" si="3"/>
        <v>0</v>
      </c>
    </row>
    <row r="51" spans="1:8" ht="15.6" x14ac:dyDescent="0.3">
      <c r="A51" s="293" t="s">
        <v>110</v>
      </c>
      <c r="B51" s="294"/>
      <c r="C51" s="295"/>
      <c r="D51" s="39">
        <f>'Cennik enova365'!B67</f>
        <v>13</v>
      </c>
      <c r="E51" s="37" t="s">
        <v>4</v>
      </c>
      <c r="F51" s="55"/>
      <c r="G51" s="38">
        <v>0</v>
      </c>
      <c r="H51" s="34">
        <f t="shared" si="3"/>
        <v>0</v>
      </c>
    </row>
    <row r="52" spans="1:8" ht="15.6" x14ac:dyDescent="0.3">
      <c r="A52" s="293" t="s">
        <v>58</v>
      </c>
      <c r="B52" s="294"/>
      <c r="C52" s="295"/>
      <c r="D52" s="39">
        <f>'Cennik enova365'!B68</f>
        <v>133</v>
      </c>
      <c r="E52" s="37" t="s">
        <v>4</v>
      </c>
      <c r="F52" s="55"/>
      <c r="G52" s="38">
        <v>0</v>
      </c>
      <c r="H52" s="34">
        <f t="shared" si="3"/>
        <v>0</v>
      </c>
    </row>
    <row r="53" spans="1:8" ht="15.6" x14ac:dyDescent="0.3">
      <c r="A53" s="293" t="s">
        <v>167</v>
      </c>
      <c r="B53" s="294"/>
      <c r="C53" s="295"/>
      <c r="D53" s="39">
        <f>'Cennik enova365'!B69</f>
        <v>133</v>
      </c>
      <c r="E53" s="37" t="s">
        <v>4</v>
      </c>
      <c r="F53" s="55"/>
      <c r="G53" s="38">
        <v>0</v>
      </c>
      <c r="H53" s="34">
        <f t="shared" si="3"/>
        <v>0</v>
      </c>
    </row>
    <row r="54" spans="1:8" ht="15.6" x14ac:dyDescent="0.3">
      <c r="A54" s="293" t="s">
        <v>103</v>
      </c>
      <c r="B54" s="294"/>
      <c r="C54" s="295"/>
      <c r="D54" s="39">
        <f>'Cennik enova365'!B70</f>
        <v>332</v>
      </c>
      <c r="E54" s="37" t="s">
        <v>4</v>
      </c>
      <c r="F54" s="55"/>
      <c r="G54" s="38">
        <v>0</v>
      </c>
      <c r="H54" s="34">
        <f t="shared" si="3"/>
        <v>0</v>
      </c>
    </row>
    <row r="55" spans="1:8" ht="15.6" x14ac:dyDescent="0.3">
      <c r="A55" s="293" t="s">
        <v>200</v>
      </c>
      <c r="B55" s="294"/>
      <c r="C55" s="295"/>
      <c r="D55" s="39">
        <f>'Cennik enova365'!B71</f>
        <v>99</v>
      </c>
      <c r="E55" s="37" t="s">
        <v>4</v>
      </c>
      <c r="F55" s="55"/>
      <c r="G55" s="38">
        <v>0</v>
      </c>
      <c r="H55" s="34">
        <f t="shared" si="3"/>
        <v>0</v>
      </c>
    </row>
    <row r="56" spans="1:8" ht="15.6" x14ac:dyDescent="0.3">
      <c r="A56" s="293" t="s">
        <v>56</v>
      </c>
      <c r="B56" s="294"/>
      <c r="C56" s="295"/>
      <c r="D56" s="39">
        <f>'Cennik enova365'!B72</f>
        <v>59</v>
      </c>
      <c r="E56" s="37" t="s">
        <v>4</v>
      </c>
      <c r="F56" s="55"/>
      <c r="G56" s="38">
        <v>0</v>
      </c>
      <c r="H56" s="34">
        <f t="shared" si="3"/>
        <v>0</v>
      </c>
    </row>
    <row r="57" spans="1:8" ht="15.6" x14ac:dyDescent="0.3">
      <c r="A57" s="293" t="s">
        <v>57</v>
      </c>
      <c r="B57" s="294"/>
      <c r="C57" s="295"/>
      <c r="D57" s="39">
        <f>'Cennik enova365'!B73</f>
        <v>59</v>
      </c>
      <c r="E57" s="37" t="s">
        <v>4</v>
      </c>
      <c r="F57" s="55"/>
      <c r="G57" s="38">
        <v>0</v>
      </c>
      <c r="H57" s="34">
        <f t="shared" si="3"/>
        <v>0</v>
      </c>
    </row>
    <row r="58" spans="1:8" ht="15.6" x14ac:dyDescent="0.3">
      <c r="A58" s="293" t="s">
        <v>75</v>
      </c>
      <c r="B58" s="294"/>
      <c r="C58" s="295"/>
      <c r="D58" s="39">
        <f>'Cennik enova365'!B74</f>
        <v>133</v>
      </c>
      <c r="E58" s="37" t="s">
        <v>4</v>
      </c>
      <c r="F58" s="55"/>
      <c r="G58" s="38">
        <v>0</v>
      </c>
      <c r="H58" s="34">
        <f t="shared" si="3"/>
        <v>0</v>
      </c>
    </row>
    <row r="59" spans="1:8" ht="15.6" x14ac:dyDescent="0.3">
      <c r="A59" s="293" t="s">
        <v>60</v>
      </c>
      <c r="B59" s="294"/>
      <c r="C59" s="295"/>
      <c r="D59" s="39">
        <f>'Cennik enova365'!B75</f>
        <v>99</v>
      </c>
      <c r="E59" s="37" t="s">
        <v>4</v>
      </c>
      <c r="F59" s="55"/>
      <c r="G59" s="38">
        <v>0</v>
      </c>
      <c r="H59" s="34">
        <f t="shared" si="3"/>
        <v>0</v>
      </c>
    </row>
    <row r="60" spans="1:8" ht="15.6" x14ac:dyDescent="0.3">
      <c r="A60" s="311" t="s">
        <v>41</v>
      </c>
      <c r="B60" s="314"/>
      <c r="C60" s="312"/>
      <c r="D60" s="108"/>
      <c r="E60" s="107"/>
      <c r="F60" s="109"/>
      <c r="G60" s="60">
        <f>SUM(G35:G59)</f>
        <v>0</v>
      </c>
      <c r="H60" s="34">
        <f>IF(SUM(H35:H59)&gt;0,1,0)</f>
        <v>0</v>
      </c>
    </row>
    <row r="61" spans="1:8" ht="52.5" customHeight="1" x14ac:dyDescent="0.3">
      <c r="A61" s="305" t="s">
        <v>178</v>
      </c>
      <c r="B61" s="315"/>
      <c r="C61" s="316"/>
      <c r="D61" s="92"/>
      <c r="E61" s="140" t="s">
        <v>40</v>
      </c>
      <c r="F61" s="88"/>
      <c r="G61" s="93"/>
      <c r="H61" s="34">
        <f>H62</f>
        <v>0</v>
      </c>
    </row>
    <row r="62" spans="1:8" ht="15.6" x14ac:dyDescent="0.3">
      <c r="A62" s="56" t="s">
        <v>67</v>
      </c>
      <c r="B62" s="44" t="s">
        <v>4</v>
      </c>
      <c r="C62" s="39" t="s">
        <v>39</v>
      </c>
      <c r="D62" s="39"/>
      <c r="E62" s="37">
        <v>0</v>
      </c>
      <c r="F62" s="55"/>
      <c r="G62" s="38">
        <v>0</v>
      </c>
      <c r="H62" s="34">
        <f>IF(B62="TAK",1,0)</f>
        <v>0</v>
      </c>
    </row>
    <row r="63" spans="1:8" ht="15.6" x14ac:dyDescent="0.3">
      <c r="A63" s="137" t="s">
        <v>42</v>
      </c>
      <c r="B63" s="107"/>
      <c r="C63" s="108"/>
      <c r="D63" s="108"/>
      <c r="E63" s="107"/>
      <c r="F63" s="109"/>
      <c r="G63" s="60">
        <f>SUM(G62:G62)</f>
        <v>0</v>
      </c>
      <c r="H63" s="34">
        <f>H62</f>
        <v>0</v>
      </c>
    </row>
    <row r="64" spans="1:8" ht="15.6" x14ac:dyDescent="0.3">
      <c r="A64" s="139" t="s">
        <v>37</v>
      </c>
      <c r="B64" s="140"/>
      <c r="C64" s="140"/>
      <c r="D64" s="140"/>
      <c r="E64" s="140" t="s">
        <v>34</v>
      </c>
      <c r="F64" s="88"/>
      <c r="G64" s="89"/>
      <c r="H64" s="34">
        <f>IF(G70&gt;0,1,0)</f>
        <v>0</v>
      </c>
    </row>
    <row r="65" spans="1:8" ht="15.6" x14ac:dyDescent="0.3">
      <c r="A65" s="56" t="s">
        <v>62</v>
      </c>
      <c r="B65" s="44" t="s">
        <v>4</v>
      </c>
      <c r="C65" s="36">
        <f>IF(E65="do 50 kont",'Cennik enova365'!B84,IF(E65="do 100 kont",'Cennik enova365'!B85,IF(E65="do 200 kont",'Cennik enova365'!B86,IF(E65="do 500 kont",'Cennik enova365'!B87,IF(E65="do 1000 kont",'Cennik enova365'!B88,IF(E65="powyżej 1000 kont",'Cennik enova365'!B89))))))</f>
        <v>199</v>
      </c>
      <c r="D65" s="36"/>
      <c r="E65" s="37" t="s">
        <v>186</v>
      </c>
      <c r="F65" s="55"/>
      <c r="G65" s="38">
        <f>IF(B65="TAK",IF(E3&lt;=0,"Dodaj KP",C65),0)</f>
        <v>0</v>
      </c>
      <c r="H65" s="34">
        <f t="shared" ref="H65:H75" si="5">IF(G65&gt;0,1,0)</f>
        <v>0</v>
      </c>
    </row>
    <row r="66" spans="1:8" ht="15.6" x14ac:dyDescent="0.3">
      <c r="A66" s="56" t="s">
        <v>30</v>
      </c>
      <c r="B66" s="44" t="s">
        <v>4</v>
      </c>
      <c r="C66" s="36">
        <f>'Cennik enova365'!B91</f>
        <v>15</v>
      </c>
      <c r="D66" s="36"/>
      <c r="E66" s="37">
        <v>0</v>
      </c>
      <c r="F66" s="55"/>
      <c r="G66" s="38">
        <f>IF(B66="TAK",C66*E66,0)</f>
        <v>0</v>
      </c>
      <c r="H66" s="34">
        <f t="shared" si="5"/>
        <v>0</v>
      </c>
    </row>
    <row r="67" spans="1:8" ht="15.6" x14ac:dyDescent="0.3">
      <c r="A67" s="56" t="s">
        <v>76</v>
      </c>
      <c r="B67" s="44" t="s">
        <v>4</v>
      </c>
      <c r="C67" s="36">
        <f>IF(E67="do 50 kont",'Cennik enova365'!B100,IF(E67="do 100 kont",'Cennik enova365'!B101,IF(E67="do 200 kont",'Cennik enova365'!B102,IF(E67="do 500 kont",'Cennik enova365'!B103,IF(E67="do 1000 kont",'Cennik enova365'!B104,IF(E67="powyżej 1000 kont",'Cennik enova365'!B105))))))</f>
        <v>166</v>
      </c>
      <c r="D67" s="36"/>
      <c r="E67" s="37" t="s">
        <v>186</v>
      </c>
      <c r="F67" s="55"/>
      <c r="G67" s="38">
        <f>IF(B67="TAK",IF(E10&lt;=0,"Dodaj Handel ZŁ",C67),0)</f>
        <v>0</v>
      </c>
      <c r="H67" s="34">
        <f t="shared" si="5"/>
        <v>0</v>
      </c>
    </row>
    <row r="68" spans="1:8" ht="15.6" x14ac:dyDescent="0.3">
      <c r="A68" s="56" t="s">
        <v>77</v>
      </c>
      <c r="B68" s="44" t="s">
        <v>4</v>
      </c>
      <c r="C68" s="36">
        <f>IF(E68="do 50 kont",'Cennik enova365'!B108,IF(E68="do 100 kont",'Cennik enova365'!B109,IF(E68="do 200 kont",'Cennik enova365'!B110,IF(E68="do 500 kont",'Cennik enova365'!B111,IF(E68="do 1000 kont",'Cennik enova365'!B112,IF(E68="powyżej 1000 kont",'Cennik enova365'!B113))))))</f>
        <v>99</v>
      </c>
      <c r="D68" s="36"/>
      <c r="E68" s="37" t="s">
        <v>186</v>
      </c>
      <c r="F68" s="55"/>
      <c r="G68" s="38">
        <f>IF(B68="TAK",IF(E19&lt;=0,"Dodaj WFPL",C68),0)</f>
        <v>0</v>
      </c>
      <c r="H68" s="34">
        <f t="shared" si="5"/>
        <v>0</v>
      </c>
    </row>
    <row r="69" spans="1:8" ht="15.6" x14ac:dyDescent="0.3">
      <c r="A69" s="56" t="s">
        <v>104</v>
      </c>
      <c r="B69" s="44" t="s">
        <v>4</v>
      </c>
      <c r="C69" s="36">
        <f>'Cennik enova365'!B92</f>
        <v>330</v>
      </c>
      <c r="D69" s="36"/>
      <c r="E69" s="36"/>
      <c r="F69" s="55"/>
      <c r="G69" s="38">
        <f>IF(B69="TAK",C69,0)</f>
        <v>0</v>
      </c>
      <c r="H69" s="34">
        <f t="shared" si="5"/>
        <v>0</v>
      </c>
    </row>
    <row r="70" spans="1:8" ht="15.6" x14ac:dyDescent="0.3">
      <c r="A70" s="137" t="s">
        <v>32</v>
      </c>
      <c r="B70" s="313"/>
      <c r="C70" s="314"/>
      <c r="D70" s="312"/>
      <c r="E70" s="73"/>
      <c r="F70" s="74"/>
      <c r="G70" s="75">
        <f>SUM(G65:G69)</f>
        <v>0</v>
      </c>
      <c r="H70" s="34">
        <f t="shared" si="5"/>
        <v>0</v>
      </c>
    </row>
    <row r="71" spans="1:8" ht="15.6" x14ac:dyDescent="0.3">
      <c r="A71" s="318" t="s">
        <v>83</v>
      </c>
      <c r="B71" s="320"/>
      <c r="C71" s="321"/>
      <c r="D71" s="322"/>
      <c r="E71" s="138" t="s">
        <v>24</v>
      </c>
      <c r="F71" s="141"/>
      <c r="G71" s="75"/>
      <c r="H71" s="34">
        <f>IF(G72&gt;0,1,0)</f>
        <v>0</v>
      </c>
    </row>
    <row r="72" spans="1:8" ht="15.6" x14ac:dyDescent="0.3">
      <c r="A72" s="319"/>
      <c r="B72" s="323" t="s">
        <v>179</v>
      </c>
      <c r="C72" s="324"/>
      <c r="D72" s="325"/>
      <c r="E72" s="128"/>
      <c r="F72" s="141"/>
      <c r="G72" s="75">
        <f>(G70*0.05)*(E72)</f>
        <v>0</v>
      </c>
      <c r="H72" s="34">
        <f t="shared" si="5"/>
        <v>0</v>
      </c>
    </row>
    <row r="73" spans="1:8" ht="15.6" x14ac:dyDescent="0.3">
      <c r="A73" s="137"/>
      <c r="B73" s="313"/>
      <c r="C73" s="314"/>
      <c r="D73" s="312"/>
      <c r="E73" s="57"/>
      <c r="F73" s="59"/>
      <c r="G73" s="60"/>
      <c r="H73" s="34">
        <f t="shared" si="5"/>
        <v>0</v>
      </c>
    </row>
    <row r="74" spans="1:8" ht="15.6" x14ac:dyDescent="0.3">
      <c r="A74" s="137" t="s">
        <v>82</v>
      </c>
      <c r="B74" s="313"/>
      <c r="C74" s="314"/>
      <c r="D74" s="312"/>
      <c r="E74" s="73"/>
      <c r="F74" s="74"/>
      <c r="G74" s="75">
        <f>G72+G70</f>
        <v>0</v>
      </c>
      <c r="H74" s="34">
        <f t="shared" si="5"/>
        <v>0</v>
      </c>
    </row>
    <row r="75" spans="1:8" ht="15" customHeight="1" x14ac:dyDescent="0.35">
      <c r="A75" s="131" t="s">
        <v>69</v>
      </c>
      <c r="B75" s="132"/>
      <c r="C75" s="133"/>
      <c r="D75" s="134"/>
      <c r="E75" s="205"/>
      <c r="F75" s="110"/>
      <c r="G75" s="203">
        <f>G26+G60+G63+G33</f>
        <v>0</v>
      </c>
      <c r="H75" s="249">
        <f t="shared" si="5"/>
        <v>0</v>
      </c>
    </row>
    <row r="76" spans="1:8" ht="31.2" x14ac:dyDescent="0.35">
      <c r="A76" s="111" t="s">
        <v>70</v>
      </c>
      <c r="B76" s="244" t="s">
        <v>81</v>
      </c>
      <c r="C76" s="250"/>
      <c r="D76" s="112"/>
      <c r="E76" s="113" t="s">
        <v>24</v>
      </c>
      <c r="F76" s="114"/>
      <c r="G76" s="245">
        <f>IF(AND(E77&gt;5,E77&lt;11),(G75*(E77-5)*0.1),IF(AND(E77&gt;10,E77&lt;21),(G75*5*0.1+G75*(E77-10)*5%),IF(AND(E77&gt;20,E77&lt;51),(G75*5*10%+G75*10*5%+G75*(E77-20)*2.5%),IF(E77&gt;50,(G75*5*10%+G75*10*5%+G75*30*2.5%+G75*(E77-50)*1%),0))))</f>
        <v>0</v>
      </c>
      <c r="H76" s="130">
        <f>IF(G76&gt;0,1,0)</f>
        <v>0</v>
      </c>
    </row>
    <row r="77" spans="1:8" ht="15.75" customHeight="1" x14ac:dyDescent="0.35">
      <c r="A77" s="115"/>
      <c r="B77" s="206"/>
      <c r="C77" s="251"/>
      <c r="D77" s="207"/>
      <c r="E77" s="128">
        <v>0</v>
      </c>
      <c r="F77" s="114"/>
      <c r="G77" s="204"/>
      <c r="H77" s="130">
        <f>IF(E77&gt;0,1,0)</f>
        <v>0</v>
      </c>
    </row>
    <row r="78" spans="1:8" ht="20.25" customHeight="1" x14ac:dyDescent="0.35">
      <c r="A78" s="116" t="s">
        <v>73</v>
      </c>
      <c r="B78" s="117"/>
      <c r="C78" s="117"/>
      <c r="D78" s="117"/>
      <c r="E78" s="117"/>
      <c r="F78" s="118"/>
      <c r="G78" s="119">
        <f>G75+G76+G74</f>
        <v>0</v>
      </c>
      <c r="H78" s="34">
        <f t="shared" ref="H78:H86" si="6">IF(G78&gt;0,1,0)</f>
        <v>0</v>
      </c>
    </row>
    <row r="79" spans="1:8" s="201" customFormat="1" ht="19.5" customHeight="1" x14ac:dyDescent="0.35">
      <c r="A79" s="120"/>
      <c r="B79" s="146" t="s">
        <v>18</v>
      </c>
      <c r="C79" s="147">
        <v>0</v>
      </c>
      <c r="D79" s="148"/>
      <c r="E79" s="149" t="s">
        <v>4</v>
      </c>
      <c r="F79" s="150"/>
      <c r="G79" s="151">
        <f>IF(E79="TAK",G78*C79,0)</f>
        <v>0</v>
      </c>
      <c r="H79" s="34">
        <f t="shared" si="6"/>
        <v>0</v>
      </c>
    </row>
    <row r="80" spans="1:8" ht="18.75" customHeight="1" x14ac:dyDescent="0.35">
      <c r="A80" s="121"/>
      <c r="B80" s="117" t="s">
        <v>19</v>
      </c>
      <c r="C80" s="274"/>
      <c r="D80" s="274"/>
      <c r="E80" s="275"/>
      <c r="F80" s="275"/>
      <c r="G80" s="276">
        <f>G79</f>
        <v>0</v>
      </c>
      <c r="H80" s="34">
        <f t="shared" si="6"/>
        <v>0</v>
      </c>
    </row>
    <row r="81" spans="1:10" ht="18.75" customHeight="1" x14ac:dyDescent="0.3">
      <c r="A81" s="139" t="s">
        <v>163</v>
      </c>
      <c r="B81" s="42"/>
      <c r="C81" s="50"/>
      <c r="D81" s="50"/>
      <c r="E81" s="162" t="s">
        <v>35</v>
      </c>
      <c r="F81" s="163"/>
      <c r="G81" s="43"/>
      <c r="H81" s="34">
        <f t="shared" si="6"/>
        <v>0</v>
      </c>
    </row>
    <row r="82" spans="1:10" ht="30.6" customHeight="1" x14ac:dyDescent="0.3">
      <c r="A82" s="56" t="s">
        <v>146</v>
      </c>
      <c r="B82" s="261" t="s">
        <v>4</v>
      </c>
      <c r="C82" s="264">
        <f>IF(B82="NA WŁASNOŚĆ 
1 stacja weryfikacji",VLOOKUP(E82,'Cennik enova365'!A144:E148,2,FALSE),IF(B82="ROCZNA 
1 stacja weryfikacji",VLOOKUP(E82,'Cennik enova365'!A144:E148,4,FALSE),IF(B82="NA WŁASNOŚĆ 
3 stacje weryfikacji",VLOOKUP(E82,'Cennik enova365'!A144:E148,3,FALSE),IF(B82="ROCZNA 
3 stacje weryfikacji",VLOOKUP(E82,'Cennik enova365'!A144:E148,5,FALSE),0))))</f>
        <v>0</v>
      </c>
      <c r="D82" s="36"/>
      <c r="E82" s="166" t="s">
        <v>154</v>
      </c>
      <c r="F82" s="55"/>
      <c r="G82" s="268">
        <f>C82</f>
        <v>0</v>
      </c>
      <c r="H82" s="34">
        <f t="shared" si="6"/>
        <v>0</v>
      </c>
      <c r="J82" s="285" t="s">
        <v>180</v>
      </c>
    </row>
    <row r="83" spans="1:10" ht="35.4" customHeight="1" x14ac:dyDescent="0.3">
      <c r="A83" s="56" t="s">
        <v>147</v>
      </c>
      <c r="B83" s="261" t="str">
        <f>B82</f>
        <v>NIE</v>
      </c>
      <c r="C83" s="264">
        <f>IF(B83="NA WŁASNOŚĆ 
1 stacja weryfikacji",VLOOKUP(E83,'Cennik enova365'!A158:E162,2,FALSE),IF(B83="ROCZNA 
1 stacja weryfikacji",VLOOKUP(E83,'Cennik enova365'!A158:E162,4,FALSE),IF(B83="NA WŁASNOŚĆ 
3 stacje weryfikacji",VLOOKUP(E83,'Cennik enova365'!A158:E162,3,FALSE),IF(B83="ROCZNA 
3 stacje weryfikacji",VLOOKUP(E83,'Cennik enova365'!A158:E162,5,FALSE),0))))</f>
        <v>0</v>
      </c>
      <c r="D83" s="36"/>
      <c r="E83" s="166" t="str">
        <f>E82</f>
        <v>5 000 stron rocznie</v>
      </c>
      <c r="F83" s="55"/>
      <c r="G83" s="268">
        <f>C83</f>
        <v>0</v>
      </c>
      <c r="H83" s="34">
        <f t="shared" si="6"/>
        <v>0</v>
      </c>
    </row>
    <row r="84" spans="1:10" ht="18.75" customHeight="1" x14ac:dyDescent="0.3">
      <c r="A84" s="262" t="s">
        <v>153</v>
      </c>
      <c r="B84" s="57"/>
      <c r="C84" s="58"/>
      <c r="D84" s="58"/>
      <c r="E84" s="57"/>
      <c r="F84" s="59"/>
      <c r="G84" s="60">
        <f>SUM(G82:G83)</f>
        <v>0</v>
      </c>
      <c r="H84" s="34">
        <f t="shared" si="6"/>
        <v>0</v>
      </c>
    </row>
    <row r="85" spans="1:10" ht="17.399999999999999" x14ac:dyDescent="0.35">
      <c r="A85" s="97" t="s">
        <v>20</v>
      </c>
      <c r="B85" s="122"/>
      <c r="C85" s="122"/>
      <c r="D85" s="122"/>
      <c r="E85" s="122"/>
      <c r="F85" s="123"/>
      <c r="G85" s="124">
        <f>G78-G80+G84</f>
        <v>0</v>
      </c>
      <c r="H85" s="34">
        <f t="shared" si="6"/>
        <v>0</v>
      </c>
    </row>
    <row r="86" spans="1:10" ht="15.6" x14ac:dyDescent="0.3">
      <c r="A86" s="98" t="s">
        <v>21</v>
      </c>
      <c r="B86" s="99"/>
      <c r="C86" s="99"/>
      <c r="D86" s="99"/>
      <c r="E86" s="99"/>
      <c r="F86" s="100"/>
      <c r="G86" s="101">
        <f>G85*1.23</f>
        <v>0</v>
      </c>
      <c r="H86" s="34">
        <f t="shared" si="6"/>
        <v>0</v>
      </c>
    </row>
    <row r="87" spans="1:10" x14ac:dyDescent="0.3">
      <c r="A87" s="69" t="s">
        <v>86</v>
      </c>
      <c r="B87" s="70"/>
      <c r="H87" s="34">
        <v>1</v>
      </c>
    </row>
    <row r="88" spans="1:10" x14ac:dyDescent="0.3">
      <c r="A88" s="69" t="s">
        <v>87</v>
      </c>
      <c r="B88" s="70"/>
      <c r="H88" s="34">
        <v>1</v>
      </c>
    </row>
    <row r="89" spans="1:10" x14ac:dyDescent="0.3">
      <c r="A89" s="71" t="s">
        <v>88</v>
      </c>
      <c r="B89" s="72"/>
      <c r="H89" s="34">
        <v>1</v>
      </c>
    </row>
    <row r="92" spans="1:10" x14ac:dyDescent="0.3">
      <c r="F92" s="171"/>
      <c r="G92" s="171"/>
      <c r="H92" s="171"/>
    </row>
    <row r="93" spans="1:10" x14ac:dyDescent="0.3">
      <c r="F93" s="171"/>
      <c r="G93" s="171"/>
      <c r="H93" s="171"/>
    </row>
    <row r="94" spans="1:10" x14ac:dyDescent="0.3">
      <c r="F94" s="171"/>
      <c r="G94" s="68"/>
      <c r="H94" s="68"/>
      <c r="I94" s="68"/>
      <c r="J94" s="252"/>
    </row>
    <row r="95" spans="1:10" x14ac:dyDescent="0.3">
      <c r="F95" s="171"/>
      <c r="G95" s="253"/>
      <c r="H95" s="254"/>
      <c r="I95" s="252"/>
      <c r="J95" s="255"/>
    </row>
    <row r="96" spans="1:10" x14ac:dyDescent="0.3">
      <c r="F96" s="171"/>
      <c r="G96" s="256"/>
      <c r="H96" s="257"/>
      <c r="I96" s="252"/>
      <c r="J96" s="255"/>
    </row>
    <row r="97" spans="6:10" x14ac:dyDescent="0.3">
      <c r="F97" s="171"/>
      <c r="G97" s="256"/>
      <c r="H97" s="257"/>
      <c r="I97" s="252"/>
      <c r="J97" s="255"/>
    </row>
    <row r="98" spans="6:10" x14ac:dyDescent="0.3">
      <c r="F98" s="171"/>
      <c r="G98" s="256"/>
      <c r="H98" s="257"/>
      <c r="I98" s="252"/>
      <c r="J98" s="255"/>
    </row>
    <row r="99" spans="6:10" x14ac:dyDescent="0.3">
      <c r="F99" s="171"/>
      <c r="G99" s="258"/>
      <c r="H99" s="258"/>
      <c r="I99" s="258"/>
      <c r="J99" s="68"/>
    </row>
    <row r="100" spans="6:10" x14ac:dyDescent="0.3">
      <c r="F100" s="171"/>
      <c r="G100" s="171"/>
      <c r="H100" s="171"/>
    </row>
    <row r="101" spans="6:10" x14ac:dyDescent="0.3">
      <c r="F101" s="171"/>
      <c r="G101" s="171"/>
      <c r="H101" s="171"/>
    </row>
    <row r="102" spans="6:10" x14ac:dyDescent="0.3">
      <c r="F102" s="171"/>
      <c r="G102" s="171"/>
      <c r="H102" s="171"/>
    </row>
    <row r="103" spans="6:10" x14ac:dyDescent="0.3">
      <c r="F103" s="171"/>
      <c r="G103" s="171"/>
      <c r="H103" s="171"/>
    </row>
    <row r="104" spans="6:10" x14ac:dyDescent="0.3">
      <c r="F104" s="171"/>
      <c r="G104" s="171"/>
      <c r="H104" s="171"/>
    </row>
    <row r="105" spans="6:10" x14ac:dyDescent="0.3">
      <c r="F105" s="171"/>
      <c r="G105" s="172"/>
      <c r="H105" s="171"/>
    </row>
    <row r="106" spans="6:10" x14ac:dyDescent="0.3">
      <c r="F106" s="171"/>
      <c r="G106" s="171"/>
      <c r="H106" s="171"/>
    </row>
  </sheetData>
  <autoFilter ref="H1:H89">
    <filterColumn colId="0">
      <customFilters>
        <customFilter operator="notEqual" val=" "/>
      </customFilters>
    </filterColumn>
  </autoFilter>
  <mergeCells count="37">
    <mergeCell ref="B73:D73"/>
    <mergeCell ref="A61:C61"/>
    <mergeCell ref="A71:A72"/>
    <mergeCell ref="B70:D70"/>
    <mergeCell ref="B71:D71"/>
    <mergeCell ref="B72:D72"/>
    <mergeCell ref="A56:C56"/>
    <mergeCell ref="A53:C53"/>
    <mergeCell ref="A57:C57"/>
    <mergeCell ref="A59:C59"/>
    <mergeCell ref="I35:N35"/>
    <mergeCell ref="A35:C35"/>
    <mergeCell ref="A36:C36"/>
    <mergeCell ref="A37:C37"/>
    <mergeCell ref="A50:C50"/>
    <mergeCell ref="A51:C51"/>
    <mergeCell ref="A58:C58"/>
    <mergeCell ref="A52:C52"/>
    <mergeCell ref="A48:C48"/>
    <mergeCell ref="A42:C42"/>
    <mergeCell ref="A55:C55"/>
    <mergeCell ref="A2:C2"/>
    <mergeCell ref="A27:C27"/>
    <mergeCell ref="A49:C49"/>
    <mergeCell ref="A54:C54"/>
    <mergeCell ref="B74:D74"/>
    <mergeCell ref="A34:C34"/>
    <mergeCell ref="A60:C60"/>
    <mergeCell ref="A38:C38"/>
    <mergeCell ref="A39:C39"/>
    <mergeCell ref="A40:C40"/>
    <mergeCell ref="A41:C41"/>
    <mergeCell ref="A43:C43"/>
    <mergeCell ref="A44:C44"/>
    <mergeCell ref="A45:C45"/>
    <mergeCell ref="A46:C46"/>
    <mergeCell ref="A47:C47"/>
  </mergeCells>
  <dataValidations xWindow="834" yWindow="550" count="19">
    <dataValidation allowBlank="1" showInputMessage="1" showErrorMessage="1" prompt="wpisz liczbę tabel" sqref="E62"/>
    <dataValidation allowBlank="1" showInputMessage="1" showErrorMessage="1" prompt="wpisz wartość rabatu" sqref="C79"/>
    <dataValidation allowBlank="1" showInputMessage="1" showErrorMessage="1" prompt="wpisz liczbę baz dodatkowych" sqref="E72"/>
    <dataValidation type="list" allowBlank="1" showInputMessage="1" showErrorMessage="1" sqref="B64">
      <formula1>$A$181:$A$183</formula1>
    </dataValidation>
    <dataValidation allowBlank="1" showInputMessage="1" showErrorMessage="1" prompt="wpisz liczbę wszystkich baz instalacji wielofirmowej" sqref="E77"/>
    <dataValidation allowBlank="1" showErrorMessage="1" prompt="wskaż przedział" sqref="F65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66"/>
    <dataValidation allowBlank="1" showErrorMessage="1" prompt="wpisz liczbę tabel" sqref="F62"/>
    <dataValidation allowBlank="1" showErrorMessage="1" prompt="zaznacz odpowiednią opcję" sqref="F35:F59"/>
    <dataValidation allowBlank="1" showInputMessage="1" showErrorMessage="1" prompt="wpisz liczbę stanowisk" sqref="E21:F21 E25"/>
    <dataValidation type="custom" allowBlank="1" showInputMessage="1" showErrorMessage="1" sqref="B3:B25">
      <formula1>#REF!</formula1>
    </dataValidation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66"/>
    <dataValidation allowBlank="1" showInputMessage="1" showErrorMessage="1" prompt="można dokupić jeżeli na licencji jest już min. jedno stanowsiko dowolnego modułu samodzielnego min. w wersji srebrnej (patrz powyżej zaznaczone na zielono)" sqref="E7"/>
    <dataValidation allowBlank="1" showInputMessage="1" showErrorMessage="1" prompt="wymaga: Księgi Podatkowej lub Księgi Handlowej" sqref="E8"/>
    <dataValidation allowBlank="1" showInputMessage="1" showErrorMessage="1" prompt="wymaga by na licencji było min. po 1 st. Handlu i CRM złotego" sqref="E11"/>
    <dataValidation allowBlank="1" showInputMessage="1" showErrorMessage="1" prompt="wymaga min. 1 st. Handlu złotego" sqref="E12"/>
    <dataValidation allowBlank="1" showInputMessage="1" showErrorMessage="1" prompt="na licencji musi być inny, dowolny moduł, którego działanie chcemy oprocesować" sqref="E19"/>
    <dataValidation allowBlank="1" showInputMessage="1" showErrorMessage="1" prompt="dowolny moduł, który chcemy &quot;poglądać&quot;" sqref="E22"/>
    <dataValidation allowBlank="1" showInputMessage="1" showErrorMessage="1" prompt="wymaga: Ewidencji Środków pieniężnych, dowolny moduł samodzielny min. w wersji srebrnej (patrz powyżej zaznaczone na zielono)" sqref="E23"/>
  </dataValidations>
  <pageMargins left="0.7" right="0.7" top="0.75" bottom="0.75" header="0.3" footer="0.3"/>
  <pageSetup paperSize="9" orientation="portrait" horizontalDpi="300" r:id="rId1"/>
  <ignoredErrors>
    <ignoredError sqref="H64 H71 H77 G21:G28 H27 G31 G10" formula="1"/>
    <ignoredError sqref="G29:G30" formula="1" formulaRange="1"/>
    <ignoredError sqref="D65 D68 C66:D66 D67" twoDigitTextYear="1"/>
  </ignoredErrors>
  <extLst>
    <ext xmlns:x14="http://schemas.microsoft.com/office/spreadsheetml/2009/9/main" uri="{CCE6A557-97BC-4b89-ADB6-D9C93CAAB3DF}">
      <x14:dataValidations xmlns:xm="http://schemas.microsoft.com/office/excel/2006/main" xWindow="834" yWindow="550" count="24">
        <x14:dataValidation type="list" allowBlank="1" showInputMessage="1" showErrorMessage="1" prompt="wybierz przedział">
          <x14:formula1>
            <xm:f>'Cennik enova365'!$A$108:$A$113</xm:f>
          </x14:formula1>
          <xm:sqref>E68</xm:sqref>
        </x14:dataValidation>
        <x14:dataValidation type="list" allowBlank="1" showInputMessage="1" showErrorMessage="1" prompt="zaznacz odpowiednią opcję">
          <x14:formula1>
            <xm:f>'Cennik enova365'!$K$14:$K$15</xm:f>
          </x14:formula1>
          <xm:sqref>B62</xm:sqref>
        </x14:dataValidation>
        <x14:dataValidation type="list" allowBlank="1" showInputMessage="1" showErrorMessage="1">
          <x14:formula1>
            <xm:f>'Cennik enova365'!$K$14:$K$15</xm:f>
          </x14:formula1>
          <xm:sqref>E79 F28:F32</xm:sqref>
        </x14:dataValidation>
        <x14:dataValidation type="list" allowBlank="1" showInputMessage="1" showErrorMessage="1" prompt="wymaga:_x000a_CRM min. złoty_x000a_lub Projekty min. złote">
          <x14:formula1>
            <xm:f>'Cennik enova365'!$K$14:$K$15</xm:f>
          </x14:formula1>
          <xm:sqref>E57 E31</xm:sqref>
        </x14:dataValidation>
        <x14:dataValidation type="list" allowBlank="1" showInputMessage="1" showErrorMessage="1" prompt="wymaga:_x000a_Faktury min. srebrne_x000a_lub Handel min. srebrny">
          <x14:formula1>
            <xm:f>'Cennik enova365'!$K$14:$K$15</xm:f>
          </x14:formula1>
          <xm:sqref>E52:E53</xm:sqref>
        </x14:dataValidation>
        <x14:dataValidation type="list" allowBlank="1" showInputMessage="1" showErrorMessage="1" prompt="dowolny moduł min. w wersji srebrnej">
          <x14:formula1>
            <xm:f>'Cennik enova365'!$K$14:$K$15</xm:f>
          </x14:formula1>
          <xm:sqref>E51</xm:sqref>
        </x14:dataValidation>
        <x14:dataValidation type="list" allowBlank="1" showInputMessage="1" showErrorMessage="1" prompt="wymaga:_x000a_Faktury min. srebrne_x000a_lub Handel min. srebrny_x000a_">
          <x14:formula1>
            <xm:f>'Cennik enova365'!$K$14:$K$15</xm:f>
          </x14:formula1>
          <xm:sqref>E50</xm:sqref>
        </x14:dataValidation>
        <x14:dataValidation type="list" allowBlank="1" showInputMessage="1" showErrorMessage="1" prompt="wymaga:_x000a_Księga Handlowa min. złota_x000a_lub Księga Podatkowa">
          <x14:formula1>
            <xm:f>'Cennik enova365'!$K$14:$K$15</xm:f>
          </x14:formula1>
          <xm:sqref>E47:E48 E29</xm:sqref>
        </x14:dataValidation>
        <x14:dataValidation type="list" allowBlank="1" showInputMessage="1" showErrorMessage="1" prompt="wymaga:_x000a_Księga Handlowa min. złota">
          <x14:formula1>
            <xm:f>'Cennik enova365'!$K$14:$K$15</xm:f>
          </x14:formula1>
          <xm:sqref>E43:E44</xm:sqref>
        </x14:dataValidation>
        <x14:dataValidation type="list" allowBlank="1" showInputMessage="1" showErrorMessage="1" prompt="wymaga:_x000a_Kadry Płace min. złote i Handel min. złoty">
          <x14:formula1>
            <xm:f>'Cennik enova365'!$K$14:$K$15</xm:f>
          </x14:formula1>
          <xm:sqref>E41</xm:sqref>
        </x14:dataValidation>
        <x14:dataValidation type="list" allowBlank="1" showInputMessage="1" showErrorMessage="1" prompt="wymaga:_x000a_Kadry Płace min. złote">
          <x14:formula1>
            <xm:f>'Cennik enova365'!$K$14:$K$15</xm:f>
          </x14:formula1>
          <xm:sqref>E35:E40 E28 E42</xm:sqref>
        </x14:dataValidation>
        <x14:dataValidation type="list" allowBlank="1" showInputMessage="1" showErrorMessage="1" prompt="Wymaga modułów: _x000a_Workflow platyna_x000a_DMS platyna _x000a_Harmonogram Zadań_x000a_Integracja OCR">
          <x14:formula1>
            <xm:f>'Cennik enova365'!$L$14:$L$16</xm:f>
          </x14:formula1>
          <xm:sqref>B82</xm:sqref>
        </x14:dataValidation>
        <x14:dataValidation type="list" allowBlank="1" showInputMessage="1" showErrorMessage="1">
          <x14:formula1>
            <xm:f>'Cennik enova365'!$A$151:$A$155</xm:f>
          </x14:formula1>
          <xm:sqref>E82</xm:sqref>
        </x14:dataValidation>
        <x14:dataValidation type="list" allowBlank="1" showInputMessage="1" showErrorMessage="1" prompt="dowolny moduł samodzielny min. w wersji srebrnej_x000a_(patrz powyżej zaznaczone na zielono)">
          <x14:formula1>
            <xm:f>'Cennik enova365'!$K$14:$K$15</xm:f>
          </x14:formula1>
          <xm:sqref>E49 E45:E46</xm:sqref>
        </x14:dataValidation>
        <x14:dataValidation type="list" allowBlank="1" showInputMessage="1" showErrorMessage="1" prompt="dowolny moduł min. w wersji złotej_x000a_(przynajmniej jedno, dowolne stanowsiko w ramach licencji Klienta musi być multi)">
          <x14:formula1>
            <xm:f>'Cennik enova365'!$K$14:$K$15</xm:f>
          </x14:formula1>
          <xm:sqref>E54</xm:sqref>
        </x14:dataValidation>
        <x14:dataValidation type="list" allowBlank="1" showInputMessage="1" showErrorMessage="1" prompt="dowolny moduł min. w wersji złotej_x000a_(przynajmniej jedno, dowolne stanowsiko w ramach licencji Klienta musi być złote)">
          <x14:formula1>
            <xm:f>'Cennik enova365'!$K$14:$K$15</xm:f>
          </x14:formula1>
          <xm:sqref>E58:E59 E56 E32</xm:sqref>
        </x14:dataValidation>
        <x14:dataValidation type="list" allowBlank="1" showInputMessage="1" showErrorMessage="1" prompt="wybierz przedział">
          <x14:formula1>
            <xm:f>'Cennik enova365'!$A$84:$A$89</xm:f>
          </x14:formula1>
          <xm:sqref>E65</xm:sqref>
        </x14:dataValidation>
        <x14:dataValidation type="list" allowBlank="1" showInputMessage="1" showErrorMessage="1" prompt="wymaga Kadr Płac min. w złocie">
          <x14:formula1>
            <xm:f>'Cennik enova365'!$K$14:$K$15</xm:f>
          </x14:formula1>
          <xm:sqref>B65</xm:sqref>
        </x14:dataValidation>
        <x14:dataValidation type="list" allowBlank="1" showInputMessage="1" showErrorMessage="1" prompt="wymaga Pulpitu _x000a_Pracownika">
          <x14:formula1>
            <xm:f>'Cennik enova365'!$K$14:$K$15</xm:f>
          </x14:formula1>
          <xm:sqref>B66 B69</xm:sqref>
        </x14:dataValidation>
        <x14:dataValidation type="list" allowBlank="1" showInputMessage="1" showErrorMessage="1" prompt="wymaga Handlu min. w złocie_x000a_lun CRM min. w złocie">
          <x14:formula1>
            <xm:f>'Cennik enova365'!$K$14:$K$15</xm:f>
          </x14:formula1>
          <xm:sqref>B67</xm:sqref>
        </x14:dataValidation>
        <x14:dataValidation type="list" allowBlank="1" showInputMessage="1" showErrorMessage="1" prompt="wymaga Workflow min. w platynie_x000a_oraz innego Pulpitu">
          <x14:formula1>
            <xm:f>'Cennik enova365'!$K$14:$K$15</xm:f>
          </x14:formula1>
          <xm:sqref>B68</xm:sqref>
        </x14:dataValidation>
        <x14:dataValidation type="list" allowBlank="1" showInputMessage="1" showErrorMessage="1" prompt="wymaga:_x000a_Faktury min. złote_x000a_lub Handel min. złoty">
          <x14:formula1>
            <xm:f>'Cennik enova365'!$K$14:$K$15</xm:f>
          </x14:formula1>
          <xm:sqref>E30</xm:sqref>
        </x14:dataValidation>
        <x14:dataValidation type="list" allowBlank="1" showInputMessage="1" showErrorMessage="1" prompt="wymaga:_x000a_Handel min. złoty">
          <x14:formula1>
            <xm:f>'Cennik enova365'!$K$14:$K$15</xm:f>
          </x14:formula1>
          <xm:sqref>E55</xm:sqref>
        </x14:dataValidation>
        <x14:dataValidation type="list" allowBlank="1" showInputMessage="1" showErrorMessage="1" prompt="wybierz przedział">
          <x14:formula1>
            <xm:f>'Cennik enova365'!$A$100:$A$105</xm:f>
          </x14:formula1>
          <xm:sqref>E67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zoomScale="80" zoomScaleNormal="80" workbookViewId="0">
      <selection activeCell="A100" sqref="A100:A105"/>
    </sheetView>
  </sheetViews>
  <sheetFormatPr defaultRowHeight="14.4" x14ac:dyDescent="0.3"/>
  <cols>
    <col min="1" max="1" width="70.6640625" customWidth="1"/>
    <col min="2" max="7" width="15.6640625" customWidth="1"/>
    <col min="8" max="8" width="16" customWidth="1"/>
    <col min="9" max="9" width="15.6640625" style="12" customWidth="1"/>
    <col min="11" max="11" width="25.6640625" customWidth="1"/>
    <col min="12" max="12" width="18.5546875" customWidth="1"/>
    <col min="13" max="13" width="18.33203125" customWidth="1"/>
  </cols>
  <sheetData>
    <row r="1" spans="1:12" x14ac:dyDescent="0.3">
      <c r="K1" s="18" t="s">
        <v>61</v>
      </c>
    </row>
    <row r="2" spans="1:12" x14ac:dyDescent="0.3">
      <c r="K2" t="s">
        <v>1</v>
      </c>
      <c r="L2" s="12" t="s">
        <v>1</v>
      </c>
    </row>
    <row r="3" spans="1:12" x14ac:dyDescent="0.3">
      <c r="A3" s="23" t="s">
        <v>72</v>
      </c>
      <c r="K3" t="s">
        <v>3</v>
      </c>
      <c r="L3" s="12" t="s">
        <v>5</v>
      </c>
    </row>
    <row r="4" spans="1:12" x14ac:dyDescent="0.3">
      <c r="A4" s="13"/>
      <c r="K4" t="s">
        <v>5</v>
      </c>
    </row>
    <row r="5" spans="1:12" x14ac:dyDescent="0.3">
      <c r="A5" s="17" t="s">
        <v>46</v>
      </c>
      <c r="B5" s="330" t="s">
        <v>6</v>
      </c>
      <c r="C5" s="331"/>
      <c r="D5" s="332" t="s">
        <v>7</v>
      </c>
      <c r="E5" s="333"/>
      <c r="F5" s="334" t="s">
        <v>8</v>
      </c>
      <c r="G5" s="335"/>
      <c r="H5" s="328" t="s">
        <v>66</v>
      </c>
      <c r="I5" s="329"/>
    </row>
    <row r="6" spans="1:12" x14ac:dyDescent="0.3">
      <c r="A6" s="4"/>
      <c r="B6" s="210" t="s">
        <v>44</v>
      </c>
      <c r="C6" s="211" t="s">
        <v>45</v>
      </c>
      <c r="D6" s="210" t="s">
        <v>44</v>
      </c>
      <c r="E6" s="211" t="s">
        <v>45</v>
      </c>
      <c r="F6" s="210" t="s">
        <v>44</v>
      </c>
      <c r="G6" s="211" t="s">
        <v>45</v>
      </c>
      <c r="H6" s="216" t="s">
        <v>44</v>
      </c>
      <c r="I6" s="211" t="s">
        <v>45</v>
      </c>
    </row>
    <row r="7" spans="1:12" x14ac:dyDescent="0.3">
      <c r="A7" s="174" t="s">
        <v>115</v>
      </c>
      <c r="B7" s="175">
        <v>91</v>
      </c>
      <c r="C7" s="177">
        <v>126</v>
      </c>
      <c r="D7" s="175">
        <v>224</v>
      </c>
      <c r="E7" s="177">
        <v>281</v>
      </c>
      <c r="F7" s="175">
        <v>371</v>
      </c>
      <c r="G7" s="176">
        <v>427</v>
      </c>
      <c r="H7" s="177">
        <v>449</v>
      </c>
      <c r="I7" s="176">
        <v>516</v>
      </c>
      <c r="K7" s="18" t="s">
        <v>0</v>
      </c>
    </row>
    <row r="8" spans="1:12" x14ac:dyDescent="0.3">
      <c r="A8" s="2" t="s">
        <v>116</v>
      </c>
      <c r="B8" s="22">
        <v>32</v>
      </c>
      <c r="C8" s="16">
        <v>45</v>
      </c>
      <c r="D8" s="24" t="s">
        <v>71</v>
      </c>
      <c r="E8" s="208" t="s">
        <v>71</v>
      </c>
      <c r="F8" s="22">
        <v>71</v>
      </c>
      <c r="G8" s="14">
        <v>81</v>
      </c>
      <c r="H8" s="16">
        <v>84</v>
      </c>
      <c r="I8" s="14">
        <v>97</v>
      </c>
      <c r="K8" t="s">
        <v>44</v>
      </c>
    </row>
    <row r="9" spans="1:12" s="12" customFormat="1" x14ac:dyDescent="0.3">
      <c r="A9" s="2" t="s">
        <v>117</v>
      </c>
      <c r="B9" s="24" t="s">
        <v>71</v>
      </c>
      <c r="C9" s="208" t="s">
        <v>71</v>
      </c>
      <c r="D9" s="22">
        <v>168</v>
      </c>
      <c r="E9" s="16">
        <v>209</v>
      </c>
      <c r="F9" s="22">
        <v>329</v>
      </c>
      <c r="G9" s="14">
        <v>378</v>
      </c>
      <c r="H9" s="16">
        <v>399</v>
      </c>
      <c r="I9" s="14">
        <v>459</v>
      </c>
      <c r="K9" s="12" t="s">
        <v>45</v>
      </c>
    </row>
    <row r="10" spans="1:12" x14ac:dyDescent="0.3">
      <c r="A10" s="2" t="s">
        <v>118</v>
      </c>
      <c r="B10" s="22">
        <v>19</v>
      </c>
      <c r="C10" s="16">
        <v>27</v>
      </c>
      <c r="D10" s="22">
        <v>66</v>
      </c>
      <c r="E10" s="16">
        <v>83</v>
      </c>
      <c r="F10" s="22">
        <v>167</v>
      </c>
      <c r="G10" s="14">
        <v>192</v>
      </c>
      <c r="H10" s="16">
        <v>200</v>
      </c>
      <c r="I10" s="14">
        <v>230</v>
      </c>
    </row>
    <row r="11" spans="1:12" s="12" customFormat="1" ht="15.6" x14ac:dyDescent="0.3">
      <c r="A11" s="209" t="s">
        <v>119</v>
      </c>
      <c r="B11" s="22">
        <v>26</v>
      </c>
      <c r="C11" s="16">
        <v>33</v>
      </c>
      <c r="D11" s="22">
        <v>26</v>
      </c>
      <c r="E11" s="16">
        <v>33</v>
      </c>
      <c r="F11" s="22">
        <v>26</v>
      </c>
      <c r="G11" s="14">
        <v>33</v>
      </c>
      <c r="H11" s="16">
        <v>32</v>
      </c>
      <c r="I11" s="14">
        <v>40</v>
      </c>
    </row>
    <row r="12" spans="1:12" x14ac:dyDescent="0.3">
      <c r="A12" s="7" t="s">
        <v>169</v>
      </c>
      <c r="B12" s="24" t="s">
        <v>71</v>
      </c>
      <c r="C12" s="208" t="s">
        <v>71</v>
      </c>
      <c r="D12" s="22">
        <v>59</v>
      </c>
      <c r="E12" s="16">
        <v>71</v>
      </c>
      <c r="F12" s="22">
        <v>59</v>
      </c>
      <c r="G12" s="14">
        <v>71</v>
      </c>
      <c r="H12" s="16">
        <v>71</v>
      </c>
      <c r="I12" s="14">
        <v>85</v>
      </c>
    </row>
    <row r="13" spans="1:12" x14ac:dyDescent="0.3">
      <c r="A13" s="2" t="s">
        <v>120</v>
      </c>
      <c r="B13" s="22">
        <v>13</v>
      </c>
      <c r="C13" s="16">
        <v>18</v>
      </c>
      <c r="D13" s="22">
        <v>33</v>
      </c>
      <c r="E13" s="16">
        <v>41</v>
      </c>
      <c r="F13" s="22">
        <v>100</v>
      </c>
      <c r="G13" s="14">
        <v>115</v>
      </c>
      <c r="H13" s="16">
        <v>120</v>
      </c>
      <c r="I13" s="14">
        <v>138</v>
      </c>
      <c r="K13" s="21" t="s">
        <v>63</v>
      </c>
    </row>
    <row r="14" spans="1:12" s="12" customFormat="1" x14ac:dyDescent="0.3">
      <c r="A14" s="2" t="s">
        <v>121</v>
      </c>
      <c r="B14" s="22">
        <v>53</v>
      </c>
      <c r="C14" s="16">
        <v>74</v>
      </c>
      <c r="D14" s="22">
        <v>100</v>
      </c>
      <c r="E14" s="16">
        <v>124</v>
      </c>
      <c r="F14" s="22">
        <v>247</v>
      </c>
      <c r="G14" s="14">
        <v>284</v>
      </c>
      <c r="H14" s="16">
        <v>300</v>
      </c>
      <c r="I14" s="14">
        <v>345</v>
      </c>
      <c r="K14" s="12" t="s">
        <v>2</v>
      </c>
      <c r="L14" s="12" t="s">
        <v>4</v>
      </c>
    </row>
    <row r="15" spans="1:12" ht="28.8" x14ac:dyDescent="0.3">
      <c r="A15" s="2" t="s">
        <v>122</v>
      </c>
      <c r="B15" s="24" t="s">
        <v>71</v>
      </c>
      <c r="C15" s="208" t="s">
        <v>71</v>
      </c>
      <c r="D15" s="22">
        <v>106</v>
      </c>
      <c r="E15" s="16">
        <v>133</v>
      </c>
      <c r="F15" s="22">
        <v>280</v>
      </c>
      <c r="G15" s="14">
        <v>322</v>
      </c>
      <c r="H15" s="16">
        <v>336</v>
      </c>
      <c r="I15" s="14">
        <v>386</v>
      </c>
      <c r="K15" t="s">
        <v>4</v>
      </c>
      <c r="L15" s="263" t="s">
        <v>160</v>
      </c>
    </row>
    <row r="16" spans="1:12" ht="28.8" x14ac:dyDescent="0.3">
      <c r="A16" s="2" t="s">
        <v>123</v>
      </c>
      <c r="B16" s="24" t="s">
        <v>71</v>
      </c>
      <c r="C16" s="208" t="s">
        <v>71</v>
      </c>
      <c r="D16" s="22">
        <v>133</v>
      </c>
      <c r="E16" s="16">
        <v>166</v>
      </c>
      <c r="F16" s="22">
        <v>300</v>
      </c>
      <c r="G16" s="14">
        <v>345</v>
      </c>
      <c r="H16" s="16">
        <v>360</v>
      </c>
      <c r="I16" s="14">
        <v>414</v>
      </c>
      <c r="L16" s="263" t="s">
        <v>162</v>
      </c>
    </row>
    <row r="17" spans="1:12" s="12" customFormat="1" ht="28.8" x14ac:dyDescent="0.3">
      <c r="A17" s="2" t="s">
        <v>124</v>
      </c>
      <c r="B17" s="22">
        <v>27</v>
      </c>
      <c r="C17" s="16">
        <v>38</v>
      </c>
      <c r="D17" s="22">
        <v>61</v>
      </c>
      <c r="E17" s="16">
        <v>77</v>
      </c>
      <c r="F17" s="22">
        <v>173</v>
      </c>
      <c r="G17" s="14">
        <v>198</v>
      </c>
      <c r="H17" s="16">
        <v>206</v>
      </c>
      <c r="I17" s="14">
        <v>237</v>
      </c>
      <c r="K17" s="21" t="s">
        <v>64</v>
      </c>
      <c r="L17" s="263" t="s">
        <v>159</v>
      </c>
    </row>
    <row r="18" spans="1:12" ht="28.8" x14ac:dyDescent="0.3">
      <c r="A18" s="2" t="s">
        <v>125</v>
      </c>
      <c r="B18" s="22">
        <v>19</v>
      </c>
      <c r="C18" s="16">
        <v>27</v>
      </c>
      <c r="D18" s="22">
        <v>46</v>
      </c>
      <c r="E18" s="16">
        <v>58</v>
      </c>
      <c r="F18" s="22">
        <v>133</v>
      </c>
      <c r="G18" s="14">
        <v>153</v>
      </c>
      <c r="H18" s="16">
        <v>160</v>
      </c>
      <c r="I18" s="14">
        <v>184</v>
      </c>
      <c r="K18" s="11">
        <v>1</v>
      </c>
      <c r="L18" s="263" t="s">
        <v>161</v>
      </c>
    </row>
    <row r="19" spans="1:12" x14ac:dyDescent="0.3">
      <c r="A19" s="2" t="s">
        <v>126</v>
      </c>
      <c r="B19" s="24" t="s">
        <v>71</v>
      </c>
      <c r="C19" s="208" t="s">
        <v>71</v>
      </c>
      <c r="D19" s="22">
        <v>53</v>
      </c>
      <c r="E19" s="16">
        <v>66</v>
      </c>
      <c r="F19" s="22">
        <v>133</v>
      </c>
      <c r="G19" s="14">
        <v>153</v>
      </c>
      <c r="H19" s="16">
        <v>160</v>
      </c>
      <c r="I19" s="14">
        <v>184</v>
      </c>
      <c r="K19" s="11">
        <v>2</v>
      </c>
    </row>
    <row r="20" spans="1:12" x14ac:dyDescent="0.3">
      <c r="A20" s="2" t="s">
        <v>127</v>
      </c>
      <c r="B20" s="220">
        <v>19</v>
      </c>
      <c r="C20" s="221">
        <v>27</v>
      </c>
      <c r="D20" s="22">
        <v>46</v>
      </c>
      <c r="E20" s="16">
        <v>58</v>
      </c>
      <c r="F20" s="22">
        <v>133</v>
      </c>
      <c r="G20" s="14">
        <v>153</v>
      </c>
      <c r="H20" s="16">
        <v>160</v>
      </c>
      <c r="I20" s="14">
        <v>184</v>
      </c>
      <c r="K20" s="11">
        <v>3</v>
      </c>
    </row>
    <row r="21" spans="1:12" x14ac:dyDescent="0.3">
      <c r="A21" s="2" t="s">
        <v>128</v>
      </c>
      <c r="B21" s="24" t="s">
        <v>71</v>
      </c>
      <c r="C21" s="208" t="s">
        <v>71</v>
      </c>
      <c r="D21" s="22">
        <v>46</v>
      </c>
      <c r="E21" s="16">
        <v>58</v>
      </c>
      <c r="F21" s="22">
        <v>200</v>
      </c>
      <c r="G21" s="14">
        <v>230</v>
      </c>
      <c r="H21" s="16">
        <v>240</v>
      </c>
      <c r="I21" s="14">
        <v>276</v>
      </c>
      <c r="K21" s="11">
        <v>4</v>
      </c>
    </row>
    <row r="22" spans="1:12" x14ac:dyDescent="0.3">
      <c r="A22" s="2" t="s">
        <v>129</v>
      </c>
      <c r="B22" s="24" t="s">
        <v>71</v>
      </c>
      <c r="C22" s="208" t="s">
        <v>71</v>
      </c>
      <c r="D22" s="22">
        <v>113</v>
      </c>
      <c r="E22" s="16">
        <v>141</v>
      </c>
      <c r="F22" s="22">
        <v>300</v>
      </c>
      <c r="G22" s="14">
        <v>345</v>
      </c>
      <c r="H22" s="16">
        <v>360</v>
      </c>
      <c r="I22" s="14">
        <v>414</v>
      </c>
      <c r="K22" s="11">
        <v>5</v>
      </c>
    </row>
    <row r="23" spans="1:12" x14ac:dyDescent="0.3">
      <c r="A23" s="2" t="s">
        <v>130</v>
      </c>
      <c r="B23" s="24" t="s">
        <v>71</v>
      </c>
      <c r="C23" s="208" t="s">
        <v>71</v>
      </c>
      <c r="D23" s="22">
        <v>20</v>
      </c>
      <c r="E23" s="16">
        <v>20</v>
      </c>
      <c r="F23" s="22">
        <v>40</v>
      </c>
      <c r="G23" s="14">
        <v>40</v>
      </c>
      <c r="H23" s="16">
        <v>48</v>
      </c>
      <c r="I23" s="14">
        <v>48</v>
      </c>
    </row>
    <row r="24" spans="1:12" x14ac:dyDescent="0.3">
      <c r="A24" s="2" t="s">
        <v>131</v>
      </c>
      <c r="B24" s="24" t="s">
        <v>71</v>
      </c>
      <c r="C24" s="208" t="s">
        <v>71</v>
      </c>
      <c r="D24" s="22">
        <v>26</v>
      </c>
      <c r="E24" s="221">
        <v>26</v>
      </c>
      <c r="F24" s="22">
        <v>26</v>
      </c>
      <c r="G24" s="223">
        <v>26</v>
      </c>
      <c r="H24" s="221">
        <v>32</v>
      </c>
      <c r="I24" s="223">
        <v>32</v>
      </c>
      <c r="K24" s="21" t="s">
        <v>65</v>
      </c>
    </row>
    <row r="25" spans="1:12" x14ac:dyDescent="0.3">
      <c r="A25" s="7" t="s">
        <v>132</v>
      </c>
      <c r="B25" s="24" t="s">
        <v>71</v>
      </c>
      <c r="C25" s="208" t="s">
        <v>71</v>
      </c>
      <c r="D25" s="22">
        <v>166</v>
      </c>
      <c r="E25" s="16">
        <v>166</v>
      </c>
      <c r="F25" s="22">
        <v>166</v>
      </c>
      <c r="G25" s="14">
        <v>166</v>
      </c>
      <c r="H25" s="16">
        <v>199</v>
      </c>
      <c r="I25" s="14">
        <v>199</v>
      </c>
      <c r="K25" s="11">
        <v>1</v>
      </c>
    </row>
    <row r="26" spans="1:12" x14ac:dyDescent="0.3">
      <c r="A26" s="7" t="s">
        <v>133</v>
      </c>
      <c r="B26" s="220">
        <v>46</v>
      </c>
      <c r="C26" s="221">
        <v>58</v>
      </c>
      <c r="D26" s="22">
        <v>46</v>
      </c>
      <c r="E26" s="16">
        <v>58</v>
      </c>
      <c r="F26" s="22">
        <v>100</v>
      </c>
      <c r="G26" s="14">
        <v>115</v>
      </c>
      <c r="H26" s="16">
        <v>120</v>
      </c>
      <c r="I26" s="14">
        <v>138</v>
      </c>
      <c r="K26" s="11">
        <v>2</v>
      </c>
    </row>
    <row r="27" spans="1:12" x14ac:dyDescent="0.3">
      <c r="A27" s="7" t="s">
        <v>134</v>
      </c>
      <c r="B27" s="24" t="s">
        <v>71</v>
      </c>
      <c r="C27" s="208" t="s">
        <v>71</v>
      </c>
      <c r="D27" s="22">
        <v>53</v>
      </c>
      <c r="E27" s="16">
        <v>66</v>
      </c>
      <c r="F27" s="22">
        <v>267</v>
      </c>
      <c r="G27" s="14">
        <v>307</v>
      </c>
      <c r="H27" s="16">
        <v>320</v>
      </c>
      <c r="I27" s="14">
        <v>368</v>
      </c>
      <c r="K27" s="11">
        <v>3</v>
      </c>
    </row>
    <row r="28" spans="1:12" s="12" customFormat="1" x14ac:dyDescent="0.3">
      <c r="A28" s="7" t="s">
        <v>135</v>
      </c>
      <c r="B28" s="213" t="s">
        <v>71</v>
      </c>
      <c r="C28" s="212" t="s">
        <v>71</v>
      </c>
      <c r="D28" s="2">
        <v>33</v>
      </c>
      <c r="E28" s="222">
        <v>41</v>
      </c>
      <c r="F28" s="224">
        <v>100</v>
      </c>
      <c r="G28" s="225">
        <v>115</v>
      </c>
      <c r="H28" s="222">
        <v>120</v>
      </c>
      <c r="I28" s="225">
        <v>138</v>
      </c>
      <c r="K28" s="11">
        <v>4</v>
      </c>
    </row>
    <row r="29" spans="1:12" s="12" customFormat="1" x14ac:dyDescent="0.3">
      <c r="A29" s="8" t="s">
        <v>136</v>
      </c>
      <c r="B29" s="214" t="s">
        <v>71</v>
      </c>
      <c r="C29" s="215" t="s">
        <v>71</v>
      </c>
      <c r="D29" s="217">
        <v>21</v>
      </c>
      <c r="E29" s="218">
        <v>27</v>
      </c>
      <c r="F29" s="217">
        <v>73</v>
      </c>
      <c r="G29" s="219">
        <v>84</v>
      </c>
      <c r="H29" s="218">
        <v>88</v>
      </c>
      <c r="I29" s="219">
        <v>101</v>
      </c>
      <c r="K29" s="11">
        <v>5</v>
      </c>
    </row>
    <row r="30" spans="1:12" s="12" customFormat="1" x14ac:dyDescent="0.3">
      <c r="K30" s="11">
        <v>6</v>
      </c>
    </row>
    <row r="31" spans="1:12" s="12" customFormat="1" x14ac:dyDescent="0.3">
      <c r="A31" s="23" t="s">
        <v>27</v>
      </c>
      <c r="K31" s="11">
        <v>7</v>
      </c>
    </row>
    <row r="32" spans="1:12" s="12" customFormat="1" x14ac:dyDescent="0.3">
      <c r="A32" s="17" t="s">
        <v>46</v>
      </c>
      <c r="B32" s="330" t="s">
        <v>6</v>
      </c>
      <c r="C32" s="331"/>
      <c r="D32" s="332" t="s">
        <v>7</v>
      </c>
      <c r="E32" s="333"/>
      <c r="F32" s="336" t="s">
        <v>8</v>
      </c>
      <c r="G32" s="335"/>
      <c r="K32" s="11">
        <v>8</v>
      </c>
    </row>
    <row r="33" spans="1:11" s="12" customFormat="1" x14ac:dyDescent="0.3">
      <c r="A33" s="2"/>
      <c r="B33" s="210" t="s">
        <v>44</v>
      </c>
      <c r="C33" s="211" t="s">
        <v>45</v>
      </c>
      <c r="D33" s="210" t="s">
        <v>44</v>
      </c>
      <c r="E33" s="211" t="s">
        <v>45</v>
      </c>
      <c r="F33" s="216" t="s">
        <v>44</v>
      </c>
      <c r="G33" s="211" t="s">
        <v>45</v>
      </c>
      <c r="K33" s="11">
        <v>9</v>
      </c>
    </row>
    <row r="34" spans="1:11" s="12" customFormat="1" x14ac:dyDescent="0.3">
      <c r="A34" s="227" t="s">
        <v>137</v>
      </c>
      <c r="B34" s="228">
        <v>109</v>
      </c>
      <c r="C34" s="229">
        <v>152</v>
      </c>
      <c r="D34" s="228">
        <v>268</v>
      </c>
      <c r="E34" s="229">
        <v>335</v>
      </c>
      <c r="F34" s="228">
        <v>449</v>
      </c>
      <c r="G34" s="229">
        <v>516</v>
      </c>
      <c r="K34" s="11">
        <v>10</v>
      </c>
    </row>
    <row r="35" spans="1:11" s="12" customFormat="1" x14ac:dyDescent="0.3">
      <c r="A35" s="230" t="s">
        <v>138</v>
      </c>
      <c r="B35" s="231">
        <v>38</v>
      </c>
      <c r="C35" s="232">
        <v>53</v>
      </c>
      <c r="D35" s="233" t="s">
        <v>71</v>
      </c>
      <c r="E35" s="234" t="s">
        <v>71</v>
      </c>
      <c r="F35" s="231">
        <v>84</v>
      </c>
      <c r="G35" s="232">
        <v>97</v>
      </c>
    </row>
    <row r="36" spans="1:11" s="12" customFormat="1" x14ac:dyDescent="0.3">
      <c r="A36" s="230" t="s">
        <v>139</v>
      </c>
      <c r="B36" s="233" t="s">
        <v>71</v>
      </c>
      <c r="C36" s="234" t="s">
        <v>71</v>
      </c>
      <c r="D36" s="231">
        <v>201</v>
      </c>
      <c r="E36" s="232">
        <v>251</v>
      </c>
      <c r="F36" s="231">
        <v>399</v>
      </c>
      <c r="G36" s="232">
        <v>459</v>
      </c>
      <c r="K36" s="21" t="s">
        <v>68</v>
      </c>
    </row>
    <row r="37" spans="1:11" s="12" customFormat="1" x14ac:dyDescent="0.3">
      <c r="A37" s="230" t="s">
        <v>140</v>
      </c>
      <c r="B37" s="231">
        <v>23</v>
      </c>
      <c r="C37" s="232">
        <v>32</v>
      </c>
      <c r="D37" s="231">
        <v>79</v>
      </c>
      <c r="E37" s="232">
        <v>99</v>
      </c>
      <c r="F37" s="231">
        <v>200</v>
      </c>
      <c r="G37" s="232">
        <v>230</v>
      </c>
      <c r="K37" s="11">
        <v>5</v>
      </c>
    </row>
    <row r="38" spans="1:11" s="12" customFormat="1" ht="15.6" x14ac:dyDescent="0.3">
      <c r="A38" s="248" t="s">
        <v>119</v>
      </c>
      <c r="B38" s="231">
        <v>32</v>
      </c>
      <c r="C38" s="232">
        <v>40</v>
      </c>
      <c r="D38" s="231">
        <v>32</v>
      </c>
      <c r="E38" s="232">
        <v>40</v>
      </c>
      <c r="F38" s="231">
        <v>32</v>
      </c>
      <c r="G38" s="232">
        <v>40</v>
      </c>
      <c r="K38" s="11"/>
    </row>
    <row r="39" spans="1:11" s="12" customFormat="1" x14ac:dyDescent="0.3">
      <c r="A39" s="230" t="s">
        <v>102</v>
      </c>
      <c r="B39" s="233" t="s">
        <v>71</v>
      </c>
      <c r="C39" s="234" t="s">
        <v>71</v>
      </c>
      <c r="D39" s="231">
        <v>71</v>
      </c>
      <c r="E39" s="232">
        <v>85</v>
      </c>
      <c r="F39" s="231">
        <v>71</v>
      </c>
      <c r="G39" s="232">
        <v>85</v>
      </c>
    </row>
    <row r="40" spans="1:11" s="12" customFormat="1" x14ac:dyDescent="0.3">
      <c r="A40" s="230" t="s">
        <v>113</v>
      </c>
      <c r="B40" s="246">
        <v>16</v>
      </c>
      <c r="C40" s="247">
        <v>22</v>
      </c>
      <c r="D40" s="231">
        <v>39</v>
      </c>
      <c r="E40" s="232">
        <v>49</v>
      </c>
      <c r="F40" s="231">
        <v>120</v>
      </c>
      <c r="G40" s="232">
        <v>138</v>
      </c>
    </row>
    <row r="41" spans="1:11" s="12" customFormat="1" x14ac:dyDescent="0.3">
      <c r="A41" s="230" t="s">
        <v>196</v>
      </c>
      <c r="B41" s="246">
        <v>32</v>
      </c>
      <c r="C41" s="247">
        <v>45</v>
      </c>
      <c r="D41" s="231">
        <v>73</v>
      </c>
      <c r="E41" s="232">
        <v>92</v>
      </c>
      <c r="F41" s="231">
        <v>206</v>
      </c>
      <c r="G41" s="232">
        <v>237</v>
      </c>
    </row>
    <row r="42" spans="1:11" s="12" customFormat="1" x14ac:dyDescent="0.3">
      <c r="A42" s="230" t="s">
        <v>197</v>
      </c>
      <c r="B42" s="233" t="s">
        <v>71</v>
      </c>
      <c r="C42" s="234" t="s">
        <v>71</v>
      </c>
      <c r="D42" s="231">
        <v>135</v>
      </c>
      <c r="E42" s="232">
        <v>169</v>
      </c>
      <c r="F42" s="231">
        <v>360</v>
      </c>
      <c r="G42" s="232">
        <v>414</v>
      </c>
    </row>
    <row r="43" spans="1:11" s="12" customFormat="1" x14ac:dyDescent="0.3">
      <c r="A43" s="230" t="s">
        <v>141</v>
      </c>
      <c r="B43" s="233" t="s">
        <v>71</v>
      </c>
      <c r="C43" s="234" t="s">
        <v>71</v>
      </c>
      <c r="D43" s="231">
        <v>20</v>
      </c>
      <c r="E43" s="232">
        <v>20</v>
      </c>
      <c r="F43" s="231">
        <v>40</v>
      </c>
      <c r="G43" s="232">
        <v>40</v>
      </c>
    </row>
    <row r="44" spans="1:11" s="12" customFormat="1" x14ac:dyDescent="0.3">
      <c r="A44" s="230" t="s">
        <v>142</v>
      </c>
      <c r="B44" s="233" t="s">
        <v>71</v>
      </c>
      <c r="C44" s="234" t="s">
        <v>71</v>
      </c>
      <c r="D44" s="231">
        <v>32</v>
      </c>
      <c r="E44" s="232">
        <v>32</v>
      </c>
      <c r="F44" s="231">
        <v>32</v>
      </c>
      <c r="G44" s="232">
        <v>32</v>
      </c>
    </row>
    <row r="45" spans="1:11" x14ac:dyDescent="0.3">
      <c r="A45" s="230" t="s">
        <v>143</v>
      </c>
      <c r="B45" s="233" t="s">
        <v>71</v>
      </c>
      <c r="C45" s="234" t="s">
        <v>71</v>
      </c>
      <c r="D45" s="231">
        <v>199</v>
      </c>
      <c r="E45" s="232">
        <v>199</v>
      </c>
      <c r="F45" s="231">
        <v>199</v>
      </c>
      <c r="G45" s="232">
        <v>199</v>
      </c>
      <c r="H45" s="12"/>
    </row>
    <row r="46" spans="1:11" s="12" customFormat="1" x14ac:dyDescent="0.3">
      <c r="A46" s="7" t="s">
        <v>198</v>
      </c>
      <c r="B46" s="233">
        <v>55</v>
      </c>
      <c r="C46" s="234">
        <v>69</v>
      </c>
      <c r="D46" s="231">
        <v>55</v>
      </c>
      <c r="E46" s="232">
        <v>69</v>
      </c>
      <c r="F46" s="231">
        <v>120</v>
      </c>
      <c r="G46" s="232">
        <v>138</v>
      </c>
    </row>
    <row r="47" spans="1:11" s="12" customFormat="1" x14ac:dyDescent="0.3">
      <c r="A47" s="230" t="s">
        <v>144</v>
      </c>
      <c r="B47" s="233" t="s">
        <v>71</v>
      </c>
      <c r="C47" s="234" t="s">
        <v>71</v>
      </c>
      <c r="D47" s="231">
        <v>63</v>
      </c>
      <c r="E47" s="232">
        <v>79</v>
      </c>
      <c r="F47" s="231">
        <v>320</v>
      </c>
      <c r="G47" s="232">
        <v>368</v>
      </c>
    </row>
    <row r="48" spans="1:11" x14ac:dyDescent="0.3">
      <c r="A48" s="235" t="s">
        <v>145</v>
      </c>
      <c r="B48" s="236" t="s">
        <v>71</v>
      </c>
      <c r="C48" s="237" t="s">
        <v>71</v>
      </c>
      <c r="D48" s="238">
        <v>39</v>
      </c>
      <c r="E48" s="239">
        <v>49</v>
      </c>
      <c r="F48" s="240">
        <v>120</v>
      </c>
      <c r="G48" s="239">
        <v>138</v>
      </c>
    </row>
    <row r="49" spans="1:7" s="12" customFormat="1" x14ac:dyDescent="0.3">
      <c r="A49" s="6"/>
      <c r="B49" s="16"/>
      <c r="C49" s="16"/>
      <c r="D49" s="16"/>
      <c r="E49" s="16"/>
      <c r="F49" s="16"/>
      <c r="G49" s="16"/>
    </row>
    <row r="50" spans="1:7" x14ac:dyDescent="0.3">
      <c r="A50" s="9" t="s">
        <v>9</v>
      </c>
      <c r="B50" s="10"/>
    </row>
    <row r="51" spans="1:7" ht="15.6" x14ac:dyDescent="0.3">
      <c r="A51" s="174" t="s">
        <v>106</v>
      </c>
      <c r="B51" s="176">
        <v>166</v>
      </c>
      <c r="E51" s="136"/>
      <c r="F51" s="136"/>
    </row>
    <row r="52" spans="1:7" ht="15.6" x14ac:dyDescent="0.3">
      <c r="A52" s="2" t="s">
        <v>52</v>
      </c>
      <c r="B52" s="14">
        <v>166</v>
      </c>
      <c r="D52" s="136"/>
      <c r="E52" s="136"/>
      <c r="F52" s="136"/>
    </row>
    <row r="53" spans="1:7" ht="15.6" x14ac:dyDescent="0.3">
      <c r="A53" s="2" t="s">
        <v>107</v>
      </c>
      <c r="B53" s="14">
        <v>500</v>
      </c>
      <c r="D53" s="136"/>
      <c r="E53" s="136"/>
      <c r="F53" s="136"/>
    </row>
    <row r="54" spans="1:7" ht="15.6" x14ac:dyDescent="0.3">
      <c r="A54" s="2" t="s">
        <v>108</v>
      </c>
      <c r="B54" s="14">
        <v>47</v>
      </c>
      <c r="D54" s="136"/>
      <c r="E54" s="136"/>
      <c r="F54" s="136"/>
    </row>
    <row r="55" spans="1:7" ht="15.6" x14ac:dyDescent="0.3">
      <c r="A55" s="2" t="s">
        <v>53</v>
      </c>
      <c r="B55" s="14">
        <v>133</v>
      </c>
      <c r="D55" s="136"/>
      <c r="E55" s="136"/>
      <c r="F55" s="136"/>
    </row>
    <row r="56" spans="1:7" ht="15.6" x14ac:dyDescent="0.3">
      <c r="A56" s="7" t="s">
        <v>109</v>
      </c>
      <c r="B56" s="14">
        <v>133</v>
      </c>
      <c r="D56" s="136"/>
      <c r="E56" s="136"/>
      <c r="F56" s="136"/>
    </row>
    <row r="57" spans="1:7" ht="15.6" x14ac:dyDescent="0.3">
      <c r="A57" s="2" t="s">
        <v>55</v>
      </c>
      <c r="B57" s="14">
        <v>99</v>
      </c>
      <c r="D57" s="136"/>
      <c r="E57" s="136"/>
      <c r="F57" s="136"/>
    </row>
    <row r="58" spans="1:7" s="12" customFormat="1" ht="15.6" x14ac:dyDescent="0.3">
      <c r="A58" s="2" t="s">
        <v>199</v>
      </c>
      <c r="B58" s="14">
        <v>59</v>
      </c>
      <c r="D58" s="136"/>
      <c r="E58" s="136"/>
      <c r="F58" s="136"/>
    </row>
    <row r="59" spans="1:7" ht="15.6" x14ac:dyDescent="0.3">
      <c r="A59" s="2" t="s">
        <v>92</v>
      </c>
      <c r="B59" s="14">
        <v>166</v>
      </c>
      <c r="D59" s="136"/>
      <c r="E59" s="136"/>
      <c r="F59" s="136"/>
    </row>
    <row r="60" spans="1:7" ht="15.6" x14ac:dyDescent="0.3">
      <c r="A60" s="2" t="s">
        <v>47</v>
      </c>
      <c r="B60" s="14">
        <v>133</v>
      </c>
      <c r="D60" s="136"/>
      <c r="E60" s="136"/>
      <c r="F60" s="136"/>
    </row>
    <row r="61" spans="1:7" ht="15.6" x14ac:dyDescent="0.3">
      <c r="A61" s="2" t="s">
        <v>48</v>
      </c>
      <c r="B61" s="14">
        <v>146</v>
      </c>
      <c r="D61" s="136"/>
      <c r="E61" s="136"/>
      <c r="F61" s="136"/>
    </row>
    <row r="62" spans="1:7" ht="15.6" x14ac:dyDescent="0.3">
      <c r="A62" s="2" t="s">
        <v>49</v>
      </c>
      <c r="B62" s="14">
        <v>166</v>
      </c>
      <c r="D62" s="136"/>
      <c r="E62" s="136"/>
      <c r="F62" s="136"/>
    </row>
    <row r="63" spans="1:7" ht="15.6" x14ac:dyDescent="0.3">
      <c r="A63" s="2" t="s">
        <v>50</v>
      </c>
      <c r="B63" s="14">
        <v>99</v>
      </c>
      <c r="D63" s="136"/>
      <c r="E63" s="136"/>
      <c r="F63" s="136"/>
    </row>
    <row r="64" spans="1:7" ht="15.6" x14ac:dyDescent="0.3">
      <c r="A64" s="2" t="s">
        <v>51</v>
      </c>
      <c r="B64" s="14">
        <v>99</v>
      </c>
      <c r="D64" s="6"/>
      <c r="E64" s="136"/>
      <c r="F64" s="136"/>
    </row>
    <row r="65" spans="1:8" ht="15.6" x14ac:dyDescent="0.3">
      <c r="A65" s="7" t="s">
        <v>54</v>
      </c>
      <c r="B65" s="14">
        <v>46</v>
      </c>
      <c r="D65" s="6"/>
      <c r="E65" s="136"/>
      <c r="F65" s="136"/>
    </row>
    <row r="66" spans="1:8" ht="15.6" x14ac:dyDescent="0.3">
      <c r="A66" s="7" t="s">
        <v>59</v>
      </c>
      <c r="B66" s="14">
        <v>48</v>
      </c>
      <c r="D66" s="1"/>
      <c r="E66" s="136"/>
      <c r="F66" s="136"/>
    </row>
    <row r="67" spans="1:8" ht="15.6" x14ac:dyDescent="0.3">
      <c r="A67" s="7" t="s">
        <v>110</v>
      </c>
      <c r="B67" s="14">
        <v>13</v>
      </c>
      <c r="D67" s="1"/>
      <c r="E67" s="136"/>
      <c r="F67" s="136"/>
    </row>
    <row r="68" spans="1:8" ht="15.6" x14ac:dyDescent="0.3">
      <c r="A68" s="2" t="s">
        <v>58</v>
      </c>
      <c r="B68" s="14">
        <v>133</v>
      </c>
      <c r="D68" s="6"/>
      <c r="E68" s="136"/>
      <c r="F68" s="136"/>
    </row>
    <row r="69" spans="1:8" s="12" customFormat="1" ht="15.6" x14ac:dyDescent="0.3">
      <c r="A69" s="2" t="s">
        <v>167</v>
      </c>
      <c r="B69" s="14">
        <v>133</v>
      </c>
      <c r="D69" s="6"/>
      <c r="E69" s="136"/>
      <c r="F69" s="136"/>
    </row>
    <row r="70" spans="1:8" ht="15.6" x14ac:dyDescent="0.3">
      <c r="A70" s="7" t="s">
        <v>103</v>
      </c>
      <c r="B70" s="14">
        <v>332</v>
      </c>
      <c r="D70" s="6"/>
      <c r="E70" s="136"/>
      <c r="F70" s="136"/>
    </row>
    <row r="71" spans="1:8" s="12" customFormat="1" ht="15.6" x14ac:dyDescent="0.3">
      <c r="A71" s="7" t="s">
        <v>200</v>
      </c>
      <c r="B71" s="14">
        <v>99</v>
      </c>
      <c r="D71" s="6"/>
      <c r="E71" s="136"/>
      <c r="F71" s="136"/>
    </row>
    <row r="72" spans="1:8" s="12" customFormat="1" ht="15.6" x14ac:dyDescent="0.3">
      <c r="A72" s="7" t="s">
        <v>56</v>
      </c>
      <c r="B72" s="14">
        <v>59</v>
      </c>
      <c r="C72"/>
      <c r="D72" s="6"/>
      <c r="E72" s="136"/>
      <c r="F72" s="136"/>
      <c r="G72"/>
      <c r="H72"/>
    </row>
    <row r="73" spans="1:8" ht="15.6" x14ac:dyDescent="0.3">
      <c r="A73" s="2" t="s">
        <v>57</v>
      </c>
      <c r="B73" s="14">
        <v>59</v>
      </c>
      <c r="D73" s="1"/>
      <c r="E73" s="136"/>
      <c r="F73" s="136"/>
      <c r="H73" s="12"/>
    </row>
    <row r="74" spans="1:8" s="12" customFormat="1" ht="15.6" x14ac:dyDescent="0.3">
      <c r="A74" s="2" t="s">
        <v>75</v>
      </c>
      <c r="B74" s="14">
        <v>133</v>
      </c>
      <c r="D74" s="6"/>
      <c r="E74" s="136"/>
      <c r="F74" s="136"/>
      <c r="H74"/>
    </row>
    <row r="75" spans="1:8" ht="15.6" x14ac:dyDescent="0.3">
      <c r="A75" s="7" t="s">
        <v>60</v>
      </c>
      <c r="B75" s="15">
        <v>99</v>
      </c>
      <c r="D75" s="6"/>
      <c r="E75" s="136"/>
      <c r="F75" s="136"/>
      <c r="H75" s="12"/>
    </row>
    <row r="76" spans="1:8" x14ac:dyDescent="0.3">
      <c r="A76" s="8"/>
      <c r="B76" s="15"/>
      <c r="C76" s="12"/>
      <c r="D76" s="6"/>
      <c r="E76" s="12"/>
      <c r="F76" s="12"/>
      <c r="G76" s="12"/>
    </row>
    <row r="77" spans="1:8" x14ac:dyDescent="0.3">
      <c r="A77" s="6"/>
      <c r="B77" s="202"/>
      <c r="D77" s="1"/>
    </row>
    <row r="78" spans="1:8" x14ac:dyDescent="0.3">
      <c r="A78" s="9" t="s">
        <v>36</v>
      </c>
      <c r="B78" s="10"/>
    </row>
    <row r="79" spans="1:8" s="12" customFormat="1" x14ac:dyDescent="0.3">
      <c r="A79" s="2" t="s">
        <v>11</v>
      </c>
      <c r="B79" s="3">
        <v>24</v>
      </c>
      <c r="C79"/>
      <c r="D79"/>
      <c r="E79"/>
      <c r="F79"/>
      <c r="G79"/>
      <c r="H79"/>
    </row>
    <row r="80" spans="1:8" s="12" customFormat="1" x14ac:dyDescent="0.3">
      <c r="A80" s="4" t="s">
        <v>10</v>
      </c>
      <c r="B80" s="5">
        <v>48</v>
      </c>
      <c r="C80"/>
      <c r="D80"/>
      <c r="E80"/>
      <c r="F80"/>
      <c r="G80"/>
    </row>
    <row r="81" spans="1:8" s="12" customFormat="1" x14ac:dyDescent="0.3">
      <c r="A81" s="1"/>
      <c r="B81" s="1"/>
    </row>
    <row r="82" spans="1:8" s="12" customFormat="1" x14ac:dyDescent="0.3">
      <c r="A82" s="1"/>
      <c r="B82" s="1"/>
    </row>
    <row r="83" spans="1:8" s="12" customFormat="1" x14ac:dyDescent="0.3">
      <c r="A83" s="9" t="s">
        <v>62</v>
      </c>
      <c r="B83" s="10"/>
    </row>
    <row r="84" spans="1:8" s="12" customFormat="1" x14ac:dyDescent="0.3">
      <c r="A84" s="2" t="s">
        <v>186</v>
      </c>
      <c r="B84" s="14">
        <v>199</v>
      </c>
    </row>
    <row r="85" spans="1:8" s="12" customFormat="1" x14ac:dyDescent="0.3">
      <c r="A85" s="2" t="s">
        <v>187</v>
      </c>
      <c r="B85" s="14">
        <v>333</v>
      </c>
    </row>
    <row r="86" spans="1:8" x14ac:dyDescent="0.3">
      <c r="A86" s="2" t="s">
        <v>188</v>
      </c>
      <c r="B86" s="14">
        <v>599</v>
      </c>
      <c r="C86" s="12"/>
      <c r="D86" s="12"/>
      <c r="E86" s="12"/>
      <c r="F86" s="12"/>
      <c r="G86" s="12"/>
      <c r="H86" s="12"/>
    </row>
    <row r="87" spans="1:8" s="12" customFormat="1" x14ac:dyDescent="0.3">
      <c r="A87" s="2" t="s">
        <v>189</v>
      </c>
      <c r="B87" s="14">
        <v>993</v>
      </c>
    </row>
    <row r="88" spans="1:8" x14ac:dyDescent="0.3">
      <c r="A88" s="2" t="s">
        <v>190</v>
      </c>
      <c r="B88" s="14">
        <v>1333</v>
      </c>
      <c r="C88" s="12"/>
      <c r="D88" s="12"/>
      <c r="E88" s="12"/>
      <c r="F88" s="12"/>
      <c r="G88" s="12"/>
    </row>
    <row r="89" spans="1:8" x14ac:dyDescent="0.3">
      <c r="A89" s="2" t="s">
        <v>191</v>
      </c>
      <c r="B89" s="14">
        <v>1633</v>
      </c>
    </row>
    <row r="90" spans="1:8" x14ac:dyDescent="0.3">
      <c r="A90" s="9" t="s">
        <v>30</v>
      </c>
      <c r="B90" s="19"/>
    </row>
    <row r="91" spans="1:8" s="12" customFormat="1" x14ac:dyDescent="0.3">
      <c r="A91" s="4" t="s">
        <v>30</v>
      </c>
      <c r="B91" s="5">
        <v>15</v>
      </c>
      <c r="C91"/>
      <c r="D91"/>
      <c r="E91"/>
      <c r="F91"/>
      <c r="G91"/>
      <c r="H91"/>
    </row>
    <row r="92" spans="1:8" x14ac:dyDescent="0.3">
      <c r="A92" s="241" t="s">
        <v>104</v>
      </c>
      <c r="B92" s="242">
        <v>330</v>
      </c>
      <c r="C92" s="12"/>
      <c r="D92" s="12"/>
      <c r="E92" s="12"/>
      <c r="F92" s="12"/>
      <c r="G92" s="12"/>
    </row>
    <row r="93" spans="1:8" s="12" customFormat="1" x14ac:dyDescent="0.3">
      <c r="A93"/>
      <c r="B93"/>
      <c r="C93"/>
      <c r="D93"/>
      <c r="E93"/>
      <c r="F93"/>
      <c r="G93"/>
    </row>
    <row r="94" spans="1:8" s="12" customFormat="1" x14ac:dyDescent="0.3"/>
    <row r="95" spans="1:8" s="12" customFormat="1" x14ac:dyDescent="0.3">
      <c r="A95" s="9" t="s">
        <v>114</v>
      </c>
      <c r="B95" s="10"/>
    </row>
    <row r="96" spans="1:8" x14ac:dyDescent="0.3">
      <c r="A96" s="4" t="s">
        <v>33</v>
      </c>
      <c r="B96" s="20">
        <v>0.05</v>
      </c>
      <c r="C96" s="12"/>
      <c r="D96" s="12"/>
      <c r="E96" s="12"/>
      <c r="F96" s="12"/>
      <c r="G96" s="12"/>
      <c r="H96" s="12"/>
    </row>
    <row r="97" spans="1:8" x14ac:dyDescent="0.3">
      <c r="A97" s="1"/>
      <c r="B97" s="16"/>
      <c r="C97" s="12"/>
      <c r="D97" s="12"/>
      <c r="E97" s="12"/>
      <c r="F97" s="12"/>
      <c r="G97" s="12"/>
    </row>
    <row r="99" spans="1:8" x14ac:dyDescent="0.3">
      <c r="A99" s="9" t="s">
        <v>76</v>
      </c>
      <c r="B99" s="10"/>
    </row>
    <row r="100" spans="1:8" s="12" customFormat="1" x14ac:dyDescent="0.3">
      <c r="A100" s="2" t="s">
        <v>186</v>
      </c>
      <c r="B100" s="14">
        <v>166</v>
      </c>
      <c r="C100"/>
      <c r="D100"/>
      <c r="E100"/>
      <c r="F100"/>
      <c r="G100"/>
      <c r="H100"/>
    </row>
    <row r="101" spans="1:8" s="12" customFormat="1" x14ac:dyDescent="0.3">
      <c r="A101" s="2" t="s">
        <v>187</v>
      </c>
      <c r="B101" s="14">
        <v>333</v>
      </c>
    </row>
    <row r="102" spans="1:8" x14ac:dyDescent="0.3">
      <c r="A102" s="2" t="s">
        <v>188</v>
      </c>
      <c r="B102" s="14">
        <v>466</v>
      </c>
      <c r="H102" s="12"/>
    </row>
    <row r="103" spans="1:8" s="12" customFormat="1" x14ac:dyDescent="0.3">
      <c r="A103" s="2" t="s">
        <v>189</v>
      </c>
      <c r="B103" s="14">
        <v>599</v>
      </c>
    </row>
    <row r="104" spans="1:8" s="12" customFormat="1" x14ac:dyDescent="0.3">
      <c r="A104" s="2" t="s">
        <v>190</v>
      </c>
      <c r="B104" s="14">
        <v>733</v>
      </c>
      <c r="H104"/>
    </row>
    <row r="105" spans="1:8" x14ac:dyDescent="0.3">
      <c r="A105" s="4" t="s">
        <v>191</v>
      </c>
      <c r="B105" s="15">
        <v>966</v>
      </c>
      <c r="H105" s="12"/>
    </row>
    <row r="106" spans="1:8" x14ac:dyDescent="0.3">
      <c r="A106" s="1"/>
      <c r="B106" s="16"/>
    </row>
    <row r="107" spans="1:8" s="12" customFormat="1" x14ac:dyDescent="0.3">
      <c r="A107" s="9" t="s">
        <v>77</v>
      </c>
      <c r="B107" s="19"/>
      <c r="C107"/>
      <c r="D107"/>
      <c r="E107"/>
      <c r="F107"/>
      <c r="G107"/>
      <c r="H107"/>
    </row>
    <row r="108" spans="1:8" x14ac:dyDescent="0.3">
      <c r="A108" s="2" t="s">
        <v>186</v>
      </c>
      <c r="B108" s="14">
        <v>99</v>
      </c>
      <c r="H108" s="12"/>
    </row>
    <row r="109" spans="1:8" s="12" customFormat="1" x14ac:dyDescent="0.3">
      <c r="A109" s="2" t="s">
        <v>187</v>
      </c>
      <c r="B109" s="14">
        <v>146</v>
      </c>
    </row>
    <row r="110" spans="1:8" x14ac:dyDescent="0.3">
      <c r="A110" s="2" t="s">
        <v>188</v>
      </c>
      <c r="B110" s="14">
        <v>199</v>
      </c>
      <c r="C110" s="12"/>
      <c r="D110" s="12"/>
      <c r="E110" s="12"/>
      <c r="F110" s="12"/>
      <c r="G110" s="12"/>
    </row>
    <row r="111" spans="1:8" s="12" customFormat="1" x14ac:dyDescent="0.3">
      <c r="A111" s="2" t="s">
        <v>189</v>
      </c>
      <c r="B111" s="14">
        <v>266</v>
      </c>
    </row>
    <row r="112" spans="1:8" x14ac:dyDescent="0.3">
      <c r="A112" s="2" t="s">
        <v>190</v>
      </c>
      <c r="B112" s="14">
        <v>333</v>
      </c>
    </row>
    <row r="113" spans="1:8" s="12" customFormat="1" x14ac:dyDescent="0.3">
      <c r="A113" s="4" t="s">
        <v>191</v>
      </c>
      <c r="B113" s="15">
        <v>533</v>
      </c>
      <c r="C113"/>
      <c r="D113"/>
      <c r="E113"/>
      <c r="F113"/>
      <c r="G113"/>
      <c r="H113"/>
    </row>
    <row r="114" spans="1:8" s="12" customFormat="1" x14ac:dyDescent="0.3">
      <c r="A114"/>
      <c r="C114"/>
      <c r="D114"/>
      <c r="E114"/>
      <c r="F114"/>
      <c r="G114"/>
    </row>
    <row r="115" spans="1:8" s="12" customFormat="1" x14ac:dyDescent="0.3">
      <c r="A115" s="9" t="s">
        <v>78</v>
      </c>
      <c r="B115" s="19"/>
    </row>
    <row r="116" spans="1:8" s="12" customFormat="1" x14ac:dyDescent="0.3">
      <c r="A116" s="2" t="s">
        <v>192</v>
      </c>
      <c r="B116" s="14">
        <v>153</v>
      </c>
    </row>
    <row r="117" spans="1:8" s="12" customFormat="1" x14ac:dyDescent="0.3">
      <c r="A117" s="2" t="s">
        <v>193</v>
      </c>
      <c r="B117" s="14">
        <v>466</v>
      </c>
    </row>
    <row r="118" spans="1:8" s="12" customFormat="1" x14ac:dyDescent="0.3">
      <c r="A118" s="2" t="s">
        <v>194</v>
      </c>
      <c r="B118" s="14">
        <v>666</v>
      </c>
    </row>
    <row r="119" spans="1:8" x14ac:dyDescent="0.3">
      <c r="A119" s="4" t="s">
        <v>195</v>
      </c>
      <c r="B119" s="15">
        <v>966</v>
      </c>
      <c r="C119" s="12"/>
      <c r="D119" s="12"/>
      <c r="E119" s="12"/>
      <c r="F119" s="12"/>
      <c r="G119" s="12"/>
      <c r="H119" s="12"/>
    </row>
    <row r="120" spans="1:8" x14ac:dyDescent="0.3">
      <c r="A120" s="12"/>
      <c r="B120" s="12"/>
      <c r="C120" s="12"/>
      <c r="D120" s="12"/>
      <c r="E120" s="12"/>
      <c r="F120" s="12"/>
      <c r="G120" s="12"/>
    </row>
    <row r="122" spans="1:8" x14ac:dyDescent="0.3">
      <c r="A122" s="9"/>
      <c r="B122" s="10"/>
    </row>
    <row r="123" spans="1:8" x14ac:dyDescent="0.3">
      <c r="A123" s="2"/>
      <c r="B123" s="14"/>
      <c r="C123" s="269"/>
    </row>
    <row r="124" spans="1:8" x14ac:dyDescent="0.3">
      <c r="A124" s="2"/>
      <c r="B124" s="14"/>
      <c r="C124" s="269"/>
      <c r="D124" s="12"/>
    </row>
    <row r="125" spans="1:8" s="12" customFormat="1" x14ac:dyDescent="0.3">
      <c r="A125" s="2"/>
      <c r="B125" s="14"/>
      <c r="C125" s="269"/>
    </row>
    <row r="126" spans="1:8" s="12" customFormat="1" x14ac:dyDescent="0.3">
      <c r="A126" s="2"/>
      <c r="B126" s="14"/>
      <c r="C126" s="269"/>
    </row>
    <row r="127" spans="1:8" x14ac:dyDescent="0.3">
      <c r="A127" s="4"/>
      <c r="B127" s="15"/>
      <c r="C127" s="269"/>
      <c r="D127" s="12"/>
    </row>
    <row r="129" spans="1:5" x14ac:dyDescent="0.3">
      <c r="A129" s="196" t="s">
        <v>98</v>
      </c>
      <c r="B129" s="326" t="s">
        <v>100</v>
      </c>
      <c r="C129" s="327"/>
      <c r="D129" s="326" t="s">
        <v>101</v>
      </c>
      <c r="E129" s="327"/>
    </row>
    <row r="130" spans="1:5" x14ac:dyDescent="0.3">
      <c r="A130" s="2" t="s">
        <v>94</v>
      </c>
      <c r="B130" s="200">
        <v>239</v>
      </c>
      <c r="C130" s="3">
        <v>287</v>
      </c>
      <c r="D130" s="2">
        <v>287</v>
      </c>
      <c r="E130" s="3">
        <v>344</v>
      </c>
    </row>
    <row r="131" spans="1:5" x14ac:dyDescent="0.3">
      <c r="A131" s="2" t="s">
        <v>93</v>
      </c>
      <c r="B131" s="200">
        <v>239</v>
      </c>
      <c r="C131" s="3">
        <v>287</v>
      </c>
      <c r="D131" s="2">
        <v>287</v>
      </c>
      <c r="E131" s="3">
        <v>344</v>
      </c>
    </row>
    <row r="132" spans="1:5" x14ac:dyDescent="0.3">
      <c r="A132" s="2" t="s">
        <v>95</v>
      </c>
      <c r="B132" s="200">
        <v>239</v>
      </c>
      <c r="C132" s="3">
        <v>287</v>
      </c>
      <c r="D132" s="2">
        <v>287</v>
      </c>
      <c r="E132" s="3">
        <v>344</v>
      </c>
    </row>
    <row r="133" spans="1:5" x14ac:dyDescent="0.3">
      <c r="A133" s="2" t="s">
        <v>96</v>
      </c>
      <c r="B133" s="200">
        <v>239</v>
      </c>
      <c r="C133" s="3">
        <v>287</v>
      </c>
      <c r="D133" s="2">
        <v>287</v>
      </c>
      <c r="E133" s="3">
        <v>344</v>
      </c>
    </row>
    <row r="134" spans="1:5" x14ac:dyDescent="0.3">
      <c r="A134" s="2" t="s">
        <v>97</v>
      </c>
      <c r="B134" s="4">
        <v>1666</v>
      </c>
      <c r="C134" s="5">
        <v>1999</v>
      </c>
      <c r="D134" s="4">
        <v>1999</v>
      </c>
      <c r="E134" s="5">
        <v>2399</v>
      </c>
    </row>
    <row r="136" spans="1:5" x14ac:dyDescent="0.3">
      <c r="A136" s="9"/>
      <c r="B136" s="10"/>
    </row>
    <row r="137" spans="1:5" x14ac:dyDescent="0.3">
      <c r="A137" s="2"/>
      <c r="B137" s="14"/>
      <c r="C137" s="269"/>
    </row>
    <row r="138" spans="1:5" x14ac:dyDescent="0.3">
      <c r="A138" s="2"/>
      <c r="B138" s="14"/>
      <c r="C138" s="269"/>
      <c r="D138" s="12"/>
    </row>
    <row r="139" spans="1:5" x14ac:dyDescent="0.3">
      <c r="A139" s="2"/>
      <c r="B139" s="14"/>
      <c r="C139" s="269"/>
      <c r="D139" s="12"/>
    </row>
    <row r="140" spans="1:5" x14ac:dyDescent="0.3">
      <c r="A140" s="2"/>
      <c r="B140" s="14"/>
      <c r="C140" s="269"/>
      <c r="D140" s="12"/>
    </row>
    <row r="141" spans="1:5" x14ac:dyDescent="0.3">
      <c r="A141" s="4"/>
      <c r="B141" s="15"/>
    </row>
    <row r="143" spans="1:5" x14ac:dyDescent="0.3">
      <c r="A143" s="196" t="s">
        <v>146</v>
      </c>
      <c r="B143" s="326" t="s">
        <v>152</v>
      </c>
      <c r="C143" s="327"/>
      <c r="D143" s="326" t="s">
        <v>148</v>
      </c>
      <c r="E143" s="327"/>
    </row>
    <row r="144" spans="1:5" x14ac:dyDescent="0.3">
      <c r="A144" s="2" t="s">
        <v>154</v>
      </c>
      <c r="B144" s="200">
        <v>10060</v>
      </c>
      <c r="C144" s="3" t="s">
        <v>150</v>
      </c>
      <c r="D144" s="22">
        <v>3958</v>
      </c>
      <c r="E144" s="3" t="s">
        <v>150</v>
      </c>
    </row>
    <row r="145" spans="1:5" x14ac:dyDescent="0.3">
      <c r="A145" s="2" t="s">
        <v>155</v>
      </c>
      <c r="B145" s="200">
        <v>16965</v>
      </c>
      <c r="C145" s="14">
        <v>20175</v>
      </c>
      <c r="D145" s="22">
        <v>5655</v>
      </c>
      <c r="E145" s="14">
        <v>6895</v>
      </c>
    </row>
    <row r="146" spans="1:5" x14ac:dyDescent="0.3">
      <c r="A146" s="2" t="s">
        <v>156</v>
      </c>
      <c r="B146" s="200">
        <v>25787</v>
      </c>
      <c r="C146" s="14">
        <v>37323</v>
      </c>
      <c r="D146" s="22">
        <v>8813</v>
      </c>
      <c r="E146" s="14">
        <v>12759</v>
      </c>
    </row>
    <row r="147" spans="1:5" x14ac:dyDescent="0.3">
      <c r="A147" s="2" t="s">
        <v>157</v>
      </c>
      <c r="B147" s="200">
        <v>30876</v>
      </c>
      <c r="C147" s="14">
        <v>60530</v>
      </c>
      <c r="D147" s="22">
        <v>10118</v>
      </c>
      <c r="E147" s="14">
        <v>20693</v>
      </c>
    </row>
    <row r="148" spans="1:5" x14ac:dyDescent="0.3">
      <c r="A148" s="2" t="s">
        <v>158</v>
      </c>
      <c r="B148" s="4" t="s">
        <v>149</v>
      </c>
      <c r="C148" s="4" t="s">
        <v>149</v>
      </c>
      <c r="D148" s="4" t="s">
        <v>149</v>
      </c>
      <c r="E148" s="4" t="s">
        <v>149</v>
      </c>
    </row>
    <row r="150" spans="1:5" x14ac:dyDescent="0.3">
      <c r="A150" s="196" t="s">
        <v>151</v>
      </c>
      <c r="B150" s="326" t="s">
        <v>152</v>
      </c>
      <c r="C150" s="327"/>
      <c r="D150" s="326" t="s">
        <v>148</v>
      </c>
      <c r="E150" s="327"/>
    </row>
    <row r="151" spans="1:5" x14ac:dyDescent="0.3">
      <c r="A151" s="2" t="s">
        <v>154</v>
      </c>
      <c r="B151" s="200">
        <v>2349</v>
      </c>
      <c r="C151" s="3" t="s">
        <v>150</v>
      </c>
      <c r="D151" s="3" t="s">
        <v>150</v>
      </c>
      <c r="E151" s="3" t="s">
        <v>150</v>
      </c>
    </row>
    <row r="152" spans="1:5" x14ac:dyDescent="0.3">
      <c r="A152" s="2" t="s">
        <v>155</v>
      </c>
      <c r="B152" s="200">
        <v>3915</v>
      </c>
      <c r="C152" s="14">
        <v>4655</v>
      </c>
      <c r="D152" s="3" t="s">
        <v>150</v>
      </c>
      <c r="E152" s="3" t="s">
        <v>150</v>
      </c>
    </row>
    <row r="153" spans="1:5" x14ac:dyDescent="0.3">
      <c r="A153" s="2" t="s">
        <v>156</v>
      </c>
      <c r="B153" s="200">
        <v>5951</v>
      </c>
      <c r="C153" s="14">
        <v>8613</v>
      </c>
      <c r="D153" s="3" t="s">
        <v>150</v>
      </c>
      <c r="E153" s="3" t="s">
        <v>150</v>
      </c>
    </row>
    <row r="154" spans="1:5" x14ac:dyDescent="0.3">
      <c r="A154" s="2" t="s">
        <v>157</v>
      </c>
      <c r="B154" s="200">
        <v>7125</v>
      </c>
      <c r="C154" s="14">
        <v>13968</v>
      </c>
      <c r="D154" s="3" t="s">
        <v>150</v>
      </c>
      <c r="E154" s="3" t="s">
        <v>150</v>
      </c>
    </row>
    <row r="155" spans="1:5" x14ac:dyDescent="0.3">
      <c r="A155" s="2" t="s">
        <v>158</v>
      </c>
      <c r="B155" s="4" t="s">
        <v>149</v>
      </c>
      <c r="C155" s="260" t="s">
        <v>149</v>
      </c>
      <c r="D155" s="3" t="s">
        <v>150</v>
      </c>
      <c r="E155" s="3" t="s">
        <v>150</v>
      </c>
    </row>
    <row r="157" spans="1:5" x14ac:dyDescent="0.3">
      <c r="A157" s="196" t="s">
        <v>147</v>
      </c>
      <c r="B157" s="326" t="s">
        <v>152</v>
      </c>
      <c r="C157" s="327"/>
      <c r="D157" s="326" t="s">
        <v>148</v>
      </c>
      <c r="E157" s="327"/>
    </row>
    <row r="158" spans="1:5" x14ac:dyDescent="0.3">
      <c r="A158" s="2" t="s">
        <v>154</v>
      </c>
      <c r="B158" s="200">
        <v>1990</v>
      </c>
      <c r="C158" s="3" t="s">
        <v>150</v>
      </c>
      <c r="D158" s="22">
        <v>690</v>
      </c>
      <c r="E158" s="3" t="s">
        <v>150</v>
      </c>
    </row>
    <row r="159" spans="1:5" x14ac:dyDescent="0.3">
      <c r="A159" s="2" t="s">
        <v>155</v>
      </c>
      <c r="B159" s="200">
        <v>1990</v>
      </c>
      <c r="C159" s="14">
        <v>2490</v>
      </c>
      <c r="D159" s="22">
        <v>690</v>
      </c>
      <c r="E159" s="14">
        <v>890</v>
      </c>
    </row>
    <row r="160" spans="1:5" x14ac:dyDescent="0.3">
      <c r="A160" s="2" t="s">
        <v>156</v>
      </c>
      <c r="B160" s="200">
        <v>2990</v>
      </c>
      <c r="C160" s="14">
        <v>3790</v>
      </c>
      <c r="D160" s="22">
        <v>990</v>
      </c>
      <c r="E160" s="14">
        <v>1290</v>
      </c>
    </row>
    <row r="161" spans="1:5" x14ac:dyDescent="0.3">
      <c r="A161" s="2" t="s">
        <v>157</v>
      </c>
      <c r="B161" s="200">
        <v>4990</v>
      </c>
      <c r="C161" s="14">
        <v>6290</v>
      </c>
      <c r="D161" s="22">
        <v>1690</v>
      </c>
      <c r="E161" s="14">
        <v>2190</v>
      </c>
    </row>
    <row r="162" spans="1:5" x14ac:dyDescent="0.3">
      <c r="A162" s="2" t="s">
        <v>158</v>
      </c>
      <c r="B162" s="4" t="s">
        <v>149</v>
      </c>
      <c r="C162" s="4" t="s">
        <v>149</v>
      </c>
      <c r="D162" s="4" t="s">
        <v>149</v>
      </c>
      <c r="E162" s="4" t="s">
        <v>149</v>
      </c>
    </row>
    <row r="163" spans="1:5" x14ac:dyDescent="0.3">
      <c r="A163" s="12"/>
      <c r="B163" s="12"/>
      <c r="C163" s="12"/>
      <c r="D163" s="12"/>
      <c r="E163" s="12"/>
    </row>
    <row r="164" spans="1:5" x14ac:dyDescent="0.3">
      <c r="A164" s="196" t="s">
        <v>165</v>
      </c>
      <c r="B164" s="326" t="s">
        <v>152</v>
      </c>
      <c r="C164" s="327"/>
      <c r="D164" s="326" t="s">
        <v>148</v>
      </c>
      <c r="E164" s="327"/>
    </row>
    <row r="165" spans="1:5" x14ac:dyDescent="0.3">
      <c r="A165" s="2" t="s">
        <v>154</v>
      </c>
      <c r="B165" s="200">
        <v>300</v>
      </c>
      <c r="C165" s="3" t="s">
        <v>150</v>
      </c>
      <c r="D165" s="3" t="s">
        <v>150</v>
      </c>
      <c r="E165" s="3" t="s">
        <v>150</v>
      </c>
    </row>
    <row r="166" spans="1:5" x14ac:dyDescent="0.3">
      <c r="A166" s="2" t="s">
        <v>155</v>
      </c>
      <c r="B166" s="200">
        <v>300</v>
      </c>
      <c r="C166" s="14">
        <v>450</v>
      </c>
      <c r="D166" s="3" t="s">
        <v>150</v>
      </c>
      <c r="E166" s="3" t="s">
        <v>150</v>
      </c>
    </row>
    <row r="167" spans="1:5" x14ac:dyDescent="0.3">
      <c r="A167" s="2" t="s">
        <v>156</v>
      </c>
      <c r="B167" s="200">
        <v>450</v>
      </c>
      <c r="C167" s="14">
        <v>650</v>
      </c>
      <c r="D167" s="3" t="s">
        <v>150</v>
      </c>
      <c r="E167" s="3" t="s">
        <v>150</v>
      </c>
    </row>
    <row r="168" spans="1:5" x14ac:dyDescent="0.3">
      <c r="A168" s="2" t="s">
        <v>157</v>
      </c>
      <c r="B168" s="200">
        <v>750</v>
      </c>
      <c r="C168" s="14">
        <v>950</v>
      </c>
      <c r="D168" s="3" t="s">
        <v>150</v>
      </c>
      <c r="E168" s="3" t="s">
        <v>150</v>
      </c>
    </row>
    <row r="169" spans="1:5" x14ac:dyDescent="0.3">
      <c r="A169" s="2" t="s">
        <v>158</v>
      </c>
      <c r="B169" s="4" t="s">
        <v>149</v>
      </c>
      <c r="C169" s="260" t="s">
        <v>149</v>
      </c>
      <c r="D169" s="260" t="s">
        <v>149</v>
      </c>
      <c r="E169" s="260" t="s">
        <v>149</v>
      </c>
    </row>
    <row r="171" spans="1:5" x14ac:dyDescent="0.3">
      <c r="A171" s="12"/>
      <c r="B171" s="12"/>
      <c r="C171" s="12"/>
      <c r="D171" s="12"/>
      <c r="E171" s="12"/>
    </row>
    <row r="172" spans="1:5" hidden="1" x14ac:dyDescent="0.3">
      <c r="A172" s="196" t="s">
        <v>165</v>
      </c>
      <c r="B172" s="326" t="s">
        <v>152</v>
      </c>
      <c r="C172" s="327"/>
      <c r="D172" s="326" t="s">
        <v>148</v>
      </c>
      <c r="E172" s="327"/>
    </row>
    <row r="173" spans="1:5" hidden="1" x14ac:dyDescent="0.3">
      <c r="A173" s="2" t="s">
        <v>154</v>
      </c>
      <c r="B173" s="200">
        <v>300</v>
      </c>
      <c r="C173" s="3">
        <v>0</v>
      </c>
      <c r="D173" s="3">
        <v>0</v>
      </c>
      <c r="E173" s="3">
        <v>0</v>
      </c>
    </row>
    <row r="174" spans="1:5" hidden="1" x14ac:dyDescent="0.3">
      <c r="A174" s="2" t="s">
        <v>155</v>
      </c>
      <c r="B174" s="200">
        <v>300</v>
      </c>
      <c r="C174" s="14">
        <v>450</v>
      </c>
      <c r="D174" s="3">
        <v>0</v>
      </c>
      <c r="E174" s="3">
        <v>0</v>
      </c>
    </row>
    <row r="175" spans="1:5" hidden="1" x14ac:dyDescent="0.3">
      <c r="A175" s="2" t="s">
        <v>156</v>
      </c>
      <c r="B175" s="200">
        <v>450</v>
      </c>
      <c r="C175" s="14">
        <v>650</v>
      </c>
      <c r="D175" s="3">
        <v>0</v>
      </c>
      <c r="E175" s="3">
        <v>0</v>
      </c>
    </row>
    <row r="176" spans="1:5" hidden="1" x14ac:dyDescent="0.3">
      <c r="A176" s="2" t="s">
        <v>157</v>
      </c>
      <c r="B176" s="200">
        <v>750</v>
      </c>
      <c r="C176" s="14">
        <v>950</v>
      </c>
      <c r="D176" s="3">
        <v>0</v>
      </c>
      <c r="E176" s="3">
        <v>0</v>
      </c>
    </row>
    <row r="177" spans="1:5" hidden="1" x14ac:dyDescent="0.3">
      <c r="A177" s="2" t="s">
        <v>158</v>
      </c>
      <c r="B177" s="4" t="s">
        <v>149</v>
      </c>
      <c r="C177" s="260" t="s">
        <v>149</v>
      </c>
      <c r="D177" s="260" t="s">
        <v>149</v>
      </c>
      <c r="E177" s="260" t="s">
        <v>149</v>
      </c>
    </row>
  </sheetData>
  <mergeCells count="19">
    <mergeCell ref="B129:C129"/>
    <mergeCell ref="D129:E129"/>
    <mergeCell ref="H5:I5"/>
    <mergeCell ref="B5:C5"/>
    <mergeCell ref="D5:E5"/>
    <mergeCell ref="F5:G5"/>
    <mergeCell ref="B32:C32"/>
    <mergeCell ref="D32:E32"/>
    <mergeCell ref="F32:G32"/>
    <mergeCell ref="B172:C172"/>
    <mergeCell ref="D172:E172"/>
    <mergeCell ref="B164:C164"/>
    <mergeCell ref="D164:E164"/>
    <mergeCell ref="B143:C143"/>
    <mergeCell ref="D143:E143"/>
    <mergeCell ref="B150:C150"/>
    <mergeCell ref="D150:E150"/>
    <mergeCell ref="B157:C157"/>
    <mergeCell ref="D157:E157"/>
  </mergeCells>
  <dataValidations count="1">
    <dataValidation allowBlank="1" showInputMessage="1" showErrorMessage="1" errorTitle="Brak możliwości edycji" sqref="B7:I27 B36:C36 D35:E35 B45:G47 B42:C44"/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enova365 - Instalacja 1-bazowa</vt:lpstr>
      <vt:lpstr>enova365 - Biuro Rachunkowe</vt:lpstr>
      <vt:lpstr>enova365 - BRdGr pow.10</vt:lpstr>
      <vt:lpstr>enova365 - Wielofirmowa</vt:lpstr>
      <vt:lpstr>Cennik enova365</vt:lpstr>
      <vt:lpstr>'enova365 - Instalacja 1-bazowa'!Obszar_wydruku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Koziol;sabina.dziubinska@enova.pl</dc:creator>
  <cp:lastModifiedBy>Sabina Jurek</cp:lastModifiedBy>
  <cp:lastPrinted>2014-11-18T08:32:43Z</cp:lastPrinted>
  <dcterms:created xsi:type="dcterms:W3CDTF">2012-10-16T06:15:01Z</dcterms:created>
  <dcterms:modified xsi:type="dcterms:W3CDTF">2019-11-15T14:49:44Z</dcterms:modified>
</cp:coreProperties>
</file>